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DAJOZ\"/>
    </mc:Choice>
  </mc:AlternateContent>
  <workbookProtection workbookAlgorithmName="SHA-512" workbookHashValue="jSttcTODTbH4ZYa8MaUYoRloKCdISD7vP433ewI3H9Md1T5rJum4VHR9bY0MrXbHu6DzWrhIBrpTSIqvvA+Vmw==" workbookSaltValue="aZaxW7SQ1yCv+78mRdDrI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T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BI20" i="26" l="1"/>
  <c r="BE13" i="8"/>
  <c r="K10" i="12"/>
  <c r="E20" i="17"/>
  <c r="BF13" i="8"/>
  <c r="J9" i="12"/>
  <c r="BD19" i="13"/>
  <c r="K12" i="12"/>
  <c r="J12" i="12"/>
  <c r="S16" i="16"/>
  <c r="BW16" i="27"/>
  <c r="P16" i="17"/>
  <c r="S16" i="26"/>
  <c r="BL16" i="11"/>
  <c r="BJ16" i="11"/>
  <c r="BH16" i="11"/>
  <c r="BF16" i="11"/>
  <c r="Q16" i="17"/>
  <c r="BV16" i="26"/>
  <c r="T16" i="26"/>
  <c r="BK16" i="11"/>
  <c r="BI16" i="11"/>
  <c r="BG16" i="11"/>
  <c r="V16" i="11"/>
  <c r="AP16" i="20"/>
  <c r="BV16" i="16"/>
  <c r="BH16" i="16"/>
  <c r="T16" i="16"/>
  <c r="AP16" i="27"/>
  <c r="BU16" i="17"/>
  <c r="BH16" i="26"/>
  <c r="BM16" i="11"/>
  <c r="AZ16" i="11"/>
  <c r="U16" i="17"/>
  <c r="X16" i="16"/>
  <c r="S16" i="14"/>
  <c r="V16" i="14" s="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S15" i="14"/>
  <c r="V15" i="14" s="1"/>
  <c r="X9" i="16"/>
  <c r="X20" i="16" s="1"/>
  <c r="AP19" i="20"/>
  <c r="X17" i="20"/>
  <c r="BV12" i="16"/>
  <c r="AA13" i="26"/>
  <c r="BH13"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<sst xmlns="http://schemas.openxmlformats.org/spreadsheetml/2006/main" count="2499" uniqueCount="1017">
  <si>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</si>
  <si>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</si>
  <si>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</si>
  <si>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</si>
  <si>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</si>
  <si>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</si>
  <si>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</si>
  <si>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</si>
  <si>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</si>
  <si>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</si>
  <si>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</si>
  <si>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</si>
  <si>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</si>
  <si>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</si>
  <si>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</si>
  <si>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</si>
  <si>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</si>
  <si>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</si>
  <si>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</si>
  <si>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</si>
  <si>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</si>
  <si>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</si>
  <si>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</si>
  <si>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</si>
  <si>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</si>
  <si>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</si>
  <si>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</si>
  <si>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</si>
  <si>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</si>
  <si>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</si>
  <si>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</si>
  <si>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</si>
  <si>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</si>
  <si>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</si>
  <si>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</si>
  <si>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</si>
  <si>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</si>
  <si>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</si>
  <si>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</si>
  <si>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</si>
  <si>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</si>
  <si>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</si>
  <si>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</si>
  <si>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</si>
  <si>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</si>
  <si>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</si>
  <si>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</si>
  <si>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</si>
  <si>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</si>
  <si>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</si>
  <si>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</si>
  <si>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</si>
  <si>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</si>
  <si>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</si>
  <si>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</si>
  <si>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</si>
  <si>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</si>
  <si>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</si>
  <si>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</si>
  <si>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</si>
  <si>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</si>
  <si>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</si>
  <si>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</si>
  <si>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</si>
  <si>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</si>
  <si>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</si>
  <si>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</si>
  <si>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</si>
  <si>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</si>
  <si>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</si>
  <si>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</si>
  <si>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</si>
  <si>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</si>
  <si>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</si>
  <si>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</si>
  <si>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</si>
  <si>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</si>
  <si>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</si>
  <si>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</si>
  <si>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</si>
  <si>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</si>
  <si>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</si>
  <si>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</si>
  <si>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</si>
  <si>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</si>
  <si>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</si>
  <si>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</si>
  <si>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</si>
  <si>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</si>
  <si>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</si>
  <si>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</si>
  <si>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</si>
  <si>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</si>
  <si>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</si>
  <si>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</si>
  <si>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</si>
  <si>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</si>
  <si>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</si>
  <si>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</si>
  <si>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</si>
  <si>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</si>
  <si>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</si>
  <si>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</si>
  <si>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</si>
  <si>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</si>
  <si>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</si>
  <si>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</si>
  <si>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</si>
  <si>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</si>
  <si>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</si>
  <si>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</si>
  <si>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</si>
  <si>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</si>
  <si>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</si>
  <si>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</si>
  <si>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</si>
  <si>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</si>
  <si>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</si>
  <si>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</si>
  <si>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</si>
  <si>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</si>
  <si>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</si>
  <si>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</si>
  <si>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</si>
  <si>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</si>
  <si>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</si>
  <si>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</si>
  <si>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</si>
  <si>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</si>
  <si>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</si>
  <si>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</si>
  <si>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</si>
  <si>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</si>
  <si>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</si>
  <si>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</si>
  <si>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</si>
  <si>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</si>
  <si>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</si>
  <si>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</si>
  <si>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</si>
  <si>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</si>
  <si>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</si>
  <si>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</si>
  <si>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</si>
  <si>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</si>
  <si>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</si>
  <si>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</si>
  <si>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</si>
  <si>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</si>
  <si>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</si>
  <si>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</si>
  <si>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</si>
  <si>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</si>
  <si>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</si>
  <si>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</si>
  <si>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</si>
  <si>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</si>
  <si>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</si>
  <si>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</si>
  <si>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</si>
  <si>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</si>
  <si>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</si>
  <si>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</si>
  <si>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</si>
  <si>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</si>
  <si>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</si>
  <si>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</si>
  <si>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</si>
  <si>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</si>
  <si>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</si>
  <si>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</si>
  <si>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</si>
  <si>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</si>
  <si>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</si>
  <si>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</si>
  <si>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</si>
  <si>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</si>
  <si>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</si>
  <si>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</si>
  <si>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</si>
  <si>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</si>
  <si>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</si>
  <si>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</si>
  <si>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</si>
  <si>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</si>
  <si>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</si>
  <si>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</si>
  <si>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</si>
  <si>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</si>
  <si>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</si>
  <si>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</si>
  <si>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</si>
  <si>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</si>
  <si>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</si>
  <si>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</si>
  <si>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</si>
  <si>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</si>
  <si>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</si>
  <si>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</si>
  <si>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</si>
  <si>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</si>
  <si>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</si>
  <si>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</si>
  <si>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</si>
  <si>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</si>
  <si>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</si>
  <si>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</si>
  <si>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</si>
  <si>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</si>
  <si>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</si>
  <si>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</si>
  <si>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</si>
  <si>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</si>
  <si>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</si>
  <si>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</si>
  <si>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</si>
  <si>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</si>
  <si>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</si>
  <si>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</si>
  <si>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</si>
  <si>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</si>
  <si>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</si>
  <si>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</si>
  <si>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</si>
  <si>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</si>
  <si>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</si>
  <si>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</si>
  <si>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</si>
  <si>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</si>
  <si>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</si>
  <si>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</si>
  <si>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</si>
  <si>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</si>
  <si>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</si>
  <si>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</si>
  <si>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</si>
  <si>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</si>
  <si>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</si>
  <si>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</si>
  <si>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</si>
  <si>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</si>
  <si>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</si>
  <si>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</si>
  <si>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</si>
  <si>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</si>
  <si>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</si>
  <si>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</si>
  <si>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</si>
  <si>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</si>
  <si>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</si>
  <si>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</si>
  <si>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</si>
  <si>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</si>
  <si>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</si>
  <si>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</si>
  <si>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</si>
  <si>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</si>
  <si>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</si>
  <si>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</si>
  <si>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</si>
  <si>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</si>
  <si>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</si>
  <si>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</si>
  <si>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</si>
  <si>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</si>
  <si>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</si>
  <si>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</si>
  <si>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</si>
  <si>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</si>
  <si>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</si>
  <si>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</si>
  <si>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</si>
  <si>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</si>
  <si>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</si>
  <si>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</si>
  <si>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</si>
  <si>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</si>
  <si>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</si>
  <si>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</si>
  <si>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</si>
  <si>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</si>
  <si>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</si>
  <si>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</si>
  <si>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</si>
  <si>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</si>
  <si>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</si>
  <si>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</si>
  <si>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</si>
  <si>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</si>
  <si>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</si>
  <si>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</si>
  <si>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</si>
  <si>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</si>
  <si>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</si>
  <si>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</si>
  <si>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</si>
  <si>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</si>
  <si>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</si>
  <si>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</si>
  <si>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</si>
  <si>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</si>
  <si>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</si>
  <si>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</si>
  <si>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</si>
  <si>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</si>
  <si>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</si>
  <si>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</si>
  <si>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</si>
  <si>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</si>
  <si>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</si>
  <si>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</si>
  <si>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</si>
  <si>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</si>
  <si>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</si>
  <si>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</si>
  <si>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</si>
  <si>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</si>
  <si>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</si>
  <si>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</si>
  <si>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</si>
  <si>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</si>
  <si>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</si>
  <si>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</si>
  <si>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</si>
  <si>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</si>
  <si>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</si>
  <si>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</si>
  <si>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</si>
  <si>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</si>
  <si>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</si>
  <si>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</si>
  <si>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</si>
  <si>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</si>
  <si>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</si>
  <si>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</si>
  <si>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</si>
  <si>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</si>
  <si>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</si>
  <si>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</si>
  <si>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</si>
  <si>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</si>
  <si>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</si>
  <si>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</si>
  <si>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</si>
  <si>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</si>
  <si>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</si>
  <si>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</si>
  <si>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</si>
  <si>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</si>
  <si>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</si>
  <si>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</si>
  <si>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</si>
  <si>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</si>
  <si>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</si>
  <si>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</si>
  <si>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</si>
  <si>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</si>
  <si>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</si>
  <si>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</si>
  <si>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</si>
  <si>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</si>
  <si>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</si>
  <si>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</si>
  <si>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</si>
  <si>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</si>
  <si>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</si>
  <si>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</si>
  <si>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</si>
  <si>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</si>
  <si>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</si>
  <si>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</si>
  <si>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</si>
  <si>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</si>
  <si>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</si>
  <si>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</si>
  <si>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</si>
  <si>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</si>
  <si>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</si>
  <si>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</si>
  <si>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</si>
  <si>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</si>
  <si>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</si>
  <si>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</si>
  <si>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</si>
  <si>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</si>
  <si>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</si>
  <si>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</si>
  <si>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</si>
  <si>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</si>
  <si>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</si>
  <si>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</si>
  <si>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</si>
  <si>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</si>
  <si>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</si>
  <si>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</si>
  <si>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</si>
  <si>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</si>
  <si>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</si>
  <si>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</si>
  <si>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</si>
  <si>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</si>
  <si>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</si>
  <si>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</si>
  <si>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</si>
  <si>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</si>
  <si>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</si>
  <si>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</si>
  <si>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</si>
  <si>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</si>
  <si>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</si>
  <si>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</si>
  <si>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</si>
  <si>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</si>
  <si>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</si>
  <si>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</si>
  <si>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</si>
  <si>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</si>
  <si>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</si>
  <si>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</si>
  <si>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</si>
  <si>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</si>
  <si>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</si>
  <si>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</si>
  <si>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</si>
  <si>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</si>
  <si>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</si>
  <si>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</si>
  <si>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</si>
  <si>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</si>
  <si>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</si>
  <si>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</si>
  <si>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</si>
  <si>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</si>
  <si>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</si>
  <si>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</si>
  <si>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</si>
  <si>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</si>
  <si>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</si>
  <si>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</si>
  <si>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</si>
  <si>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</si>
  <si>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</si>
  <si>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</si>
  <si>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</si>
  <si>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</si>
  <si>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</si>
  <si>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</si>
  <si>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</si>
  <si>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</si>
  <si>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</si>
  <si>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</si>
  <si>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</si>
  <si>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</si>
  <si>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</si>
  <si>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</si>
  <si>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</si>
  <si>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</si>
  <si>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</si>
  <si>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</si>
  <si>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</si>
  <si>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</si>
  <si>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</si>
  <si>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</si>
  <si>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</si>
  <si>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</si>
  <si>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</si>
  <si>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</si>
  <si>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</si>
  <si>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</si>
  <si>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</si>
  <si>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</si>
  <si>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</si>
  <si>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</si>
  <si>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</si>
  <si>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</si>
  <si>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</si>
  <si>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</si>
  <si>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</si>
  <si>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</si>
  <si>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</si>
  <si>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</si>
  <si>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</si>
  <si>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</si>
  <si>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</si>
  <si>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</si>
  <si>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</si>
  <si>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</si>
  <si>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</si>
  <si>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</si>
  <si>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</si>
  <si>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</si>
  <si>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</si>
  <si>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</si>
  <si>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</si>
  <si>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</si>
  <si>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</si>
  <si>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</si>
  <si>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</si>
  <si>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</si>
  <si>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</si>
  <si>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</si>
  <si>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</si>
  <si>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</si>
  <si>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</si>
  <si>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</si>
  <si>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</si>
  <si>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</si>
  <si>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</si>
  <si>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</si>
  <si>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</si>
  <si>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</si>
  <si>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</si>
  <si>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</si>
  <si>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</si>
  <si>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</si>
  <si>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</si>
  <si>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</si>
  <si>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</si>
  <si>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</si>
  <si>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</si>
  <si>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</si>
  <si>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</si>
  <si>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</si>
  <si>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</si>
  <si>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</si>
  <si>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</si>
  <si>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</si>
  <si>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</si>
  <si>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</si>
  <si>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</si>
  <si>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</si>
  <si>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</si>
  <si>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</si>
  <si>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</si>
  <si>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</si>
  <si>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</si>
  <si>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</si>
  <si>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</si>
  <si>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</si>
  <si>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</si>
  <si>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</si>
  <si>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</si>
  <si>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</si>
  <si>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</si>
  <si>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</si>
  <si>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</si>
  <si>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</si>
  <si>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</si>
  <si>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</si>
  <si>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</si>
  <si>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</si>
  <si>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</si>
  <si>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</si>
  <si>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</si>
  <si>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</si>
  <si>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</si>
  <si>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</si>
  <si>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</si>
  <si>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</si>
  <si>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</si>
  <si>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</si>
  <si>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</si>
  <si>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</si>
  <si>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</si>
  <si>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</si>
  <si>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</si>
  <si>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</si>
  <si>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</si>
  <si>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</si>
  <si>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</si>
  <si>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</si>
  <si>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</si>
  <si>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</si>
  <si>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</si>
  <si>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</si>
  <si>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</si>
  <si>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</si>
  <si>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</si>
  <si>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</si>
  <si>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</si>
  <si>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</si>
  <si>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</si>
  <si>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</si>
  <si>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</si>
  <si>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</si>
  <si>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</si>
  <si>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</si>
  <si>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</si>
  <si>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</si>
  <si>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</si>
  <si>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</si>
  <si>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</si>
  <si>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</si>
  <si>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</si>
  <si>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</si>
  <si>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</si>
  <si>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</si>
  <si>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</si>
  <si>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</si>
  <si>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</si>
  <si>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</si>
  <si>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</si>
  <si>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</si>
  <si>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</si>
  <si>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</si>
  <si>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</si>
  <si>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</si>
  <si>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</si>
  <si>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</si>
  <si>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</si>
  <si>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</si>
  <si>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</si>
  <si>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</si>
  <si>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</si>
  <si>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</si>
  <si>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</si>
  <si>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</si>
  <si>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</si>
  <si>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</si>
  <si>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</si>
  <si>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</si>
  <si>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</si>
  <si>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</si>
  <si>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</si>
  <si>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</si>
  <si>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</si>
  <si>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</si>
  <si>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</si>
  <si>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</si>
  <si>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</si>
  <si>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</si>
  <si>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</si>
  <si>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</si>
  <si>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</si>
  <si>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</si>
  <si>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</si>
  <si>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</si>
  <si>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</si>
  <si>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</si>
  <si>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</si>
  <si>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</si>
  <si>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</si>
  <si>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</si>
  <si>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</si>
  <si>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</si>
  <si>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</si>
  <si>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</si>
  <si>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</si>
  <si>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</si>
  <si>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</si>
  <si>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</si>
  <si>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</si>
  <si>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</si>
  <si>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</si>
  <si>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</si>
  <si>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</si>
  <si>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</si>
  <si>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</si>
  <si>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</si>
  <si>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</si>
  <si>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</si>
  <si>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</si>
  <si>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</si>
  <si>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</si>
  <si>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</si>
  <si>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</si>
  <si>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</si>
  <si>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</si>
  <si>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</si>
  <si>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</si>
  <si>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</si>
  <si>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</si>
  <si>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</si>
  <si>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</si>
  <si>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</si>
  <si>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</si>
  <si>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</si>
  <si>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</si>
  <si>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</si>
  <si>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</si>
  <si>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</si>
  <si>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</si>
  <si>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</si>
  <si>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</si>
  <si>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</si>
  <si>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</si>
  <si>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</si>
  <si>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</si>
  <si>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</si>
  <si>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</si>
  <si>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</si>
  <si>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</si>
  <si>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</si>
  <si>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</si>
  <si>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</si>
  <si>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</si>
  <si>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</si>
  <si>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</si>
  <si>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</si>
  <si>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</si>
  <si>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</si>
  <si>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</si>
  <si>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</si>
  <si>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</si>
  <si>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</si>
  <si>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</si>
  <si>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</si>
  <si>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</si>
  <si>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</si>
  <si>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</si>
  <si>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</si>
  <si>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</si>
  <si>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</si>
  <si>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</si>
  <si>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</si>
  <si>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</si>
  <si>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</si>
  <si>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</si>
  <si>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</si>
  <si>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</si>
  <si>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</si>
  <si>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</si>
  <si>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</si>
  <si>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</si>
  <si>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</si>
  <si>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</si>
  <si>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</si>
  <si>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</si>
  <si>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</si>
  <si>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</si>
  <si>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</si>
  <si>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</si>
  <si>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</si>
  <si>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</si>
  <si>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</si>
  <si>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</si>
  <si>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</si>
  <si>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</si>
  <si>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</si>
  <si>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</si>
  <si>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</si>
  <si>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</si>
  <si>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</si>
  <si>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</si>
  <si>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</si>
  <si>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</si>
  <si>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</si>
  <si>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</si>
  <si>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</si>
  <si>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</si>
  <si>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</si>
  <si>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</si>
  <si>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</si>
  <si>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</si>
  <si>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</si>
  <si>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</si>
  <si>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</si>
  <si>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</si>
  <si>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</si>
  <si>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</si>
  <si>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</si>
  <si>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</si>
  <si>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</si>
  <si>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</si>
  <si>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</si>
  <si>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</si>
  <si>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</si>
  <si>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</si>
  <si>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</si>
  <si>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</si>
  <si>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</si>
  <si>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</si>
  <si>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</si>
  <si>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</si>
  <si>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</si>
  <si>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</si>
  <si>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</si>
  <si>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</si>
  <si>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</si>
  <si>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</si>
  <si>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</si>
  <si>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</si>
  <si>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</si>
  <si>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</si>
  <si>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</si>
  <si>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</si>
  <si>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</si>
  <si>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</si>
  <si>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</si>
  <si>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</si>
  <si>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</si>
  <si>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</si>
  <si>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</si>
  <si>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</si>
  <si>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</si>
  <si>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</si>
  <si>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</si>
  <si>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</si>
  <si>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</si>
  <si>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</si>
  <si>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</si>
  <si>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</si>
  <si>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</si>
  <si>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</si>
  <si>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</si>
  <si>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</si>
  <si>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</si>
  <si>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</si>
  <si>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</si>
  <si>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</si>
  <si>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</si>
  <si>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</si>
  <si>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</si>
  <si>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</si>
  <si>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</si>
  <si>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</si>
  <si>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</si>
  <si>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</si>
  <si>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</si>
  <si>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</si>
  <si>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</si>
  <si>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</si>
  <si>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</si>
  <si>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</si>
  <si>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</si>
  <si>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</si>
  <si>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</si>
  <si>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</si>
  <si>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</si>
  <si>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</si>
  <si>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</si>
  <si>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</si>
  <si>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</si>
  <si>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</si>
  <si>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</si>
  <si>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</si>
  <si>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</si>
  <si>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</si>
  <si>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</si>
  <si>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</si>
  <si>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</si>
  <si>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</si>
  <si>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</si>
  <si>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</si>
  <si>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</si>
  <si>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</si>
  <si>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</si>
  <si>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</si>
  <si>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</si>
  <si>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</si>
  <si>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</si>
  <si>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</si>
  <si>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</si>
  <si>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</si>
  <si>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</si>
  <si>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</si>
  <si>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</si>
  <si>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</si>
  <si>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</si>
  <si>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</si>
  <si>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</si>
  <si>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</si>
  <si>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</si>
  <si>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</si>
  <si>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</si>
  <si>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</si>
  <si>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</si>
  <si>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</si>
  <si>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</si>
  <si>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</si>
  <si>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</si>
  <si>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</si>
  <si>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</si>
  <si>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</si>
  <si>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</si>
  <si>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</si>
  <si>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</si>
  <si>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</si>
  <si>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</si>
  <si>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</si>
  <si>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</si>
  <si>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</si>
  <si>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</si>
  <si>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</si>
  <si>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</si>
  <si>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</si>
  <si>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</si>
  <si>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</si>
  <si>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</si>
  <si>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</si>
  <si>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</si>
  <si>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</si>
  <si>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</si>
  <si>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</si>
  <si>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</si>
  <si>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</si>
  <si>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</si>
  <si>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</si>
  <si>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</si>
  <si>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</si>
  <si>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</si>
  <si>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</si>
  <si>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</si>
  <si>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</si>
  <si>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</si>
  <si>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</si>
  <si>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</si>
  <si>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</si>
  <si>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</si>
  <si>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</si>
  <si>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</si>
  <si>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</si>
  <si>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</si>
  <si>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</si>
  <si>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</si>
  <si>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</si>
  <si>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</si>
  <si>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</si>
  <si>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</si>
  <si>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</si>
  <si>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</si>
  <si>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</si>
  <si>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</si>
  <si>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</si>
  <si>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</si>
  <si>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</si>
  <si>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</si>
  <si>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</si>
  <si>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</si>
  <si>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</si>
  <si>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</si>
  <si>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</si>
  <si>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</si>
  <si>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</si>
  <si>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</si>
  <si>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</si>
  <si>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</si>
  <si>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</si>
  <si>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</si>
  <si>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</si>
  <si>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</si>
  <si>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</si>
  <si>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</si>
  <si>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</si>
  <si>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</si>
  <si>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</si>
  <si>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</si>
  <si>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</si>
  <si>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</si>
  <si>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</si>
  <si>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</si>
  <si>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</si>
  <si>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</si>
  <si>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</si>
  <si>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</si>
  <si>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</si>
  <si>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</si>
  <si>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</si>
  <si>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</si>
  <si>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</si>
  <si>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</si>
  <si>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</si>
  <si>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</si>
  <si>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</si>
  <si>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</si>
  <si>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</si>
  <si>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</si>
  <si>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</si>
  <si>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</si>
  <si>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</si>
  <si>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</si>
  <si>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</si>
  <si>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</si>
  <si>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</si>
  <si>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</si>
  <si>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</si>
  <si>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</si>
  <si>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</si>
  <si>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</si>
  <si>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</si>
  <si>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</si>
  <si>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</si>
  <si>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</si>
  <si>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</si>
  <si>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</si>
  <si>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</si>
  <si>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</si>
  <si>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</si>
  <si>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</si>
  <si>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</si>
  <si>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</si>
  <si>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</si>
  <si>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</si>
  <si>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</si>
  <si>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</si>
  <si>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</si>
  <si>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</si>
  <si>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</si>
  <si>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</si>
  <si>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</si>
  <si>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</si>
  <si>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</si>
  <si>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</si>
  <si>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</si>
  <si>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</si>
  <si>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</si>
  <si>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</si>
  <si>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</si>
  <si>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</si>
  <si>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</si>
  <si>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</si>
  <si>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</si>
  <si>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</si>
  <si>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EXTREMADURA</t>
  </si>
  <si>
    <t>Provincias</t>
  </si>
  <si>
    <t>BADAJOZ</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</si>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</sst>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225</v>
      </c>
    </row>
    <row r="3" spans="1:19" ht="23.25" thickBot="1">
      <c r="A3" s="1215" t="s">
        <v>100</v>
      </c>
      <c r="B3" s="1216"/>
      <c r="C3" s="1216"/>
      <c r="D3" s="1217"/>
      <c r="E3" s="365"/>
      <c r="F3" s="2"/>
      <c r="Q3" s="345">
        <v>1</v>
      </c>
      <c r="R3" s="345">
        <v>3</v>
      </c>
      <c r="S3" t="b">
        <f>AND(Q3&gt;=TrimIni,Q3&lt;=TrimFin)</f>
        <v>0</v>
      </c>
    </row>
    <row r="4" spans="1:19" ht="22.5" customHeight="1" thickBot="1">
      <c r="A4" s="366" t="s">
        <v>1011</v>
      </c>
      <c r="B4" s="365"/>
      <c r="C4" s="365"/>
      <c r="D4" s="365"/>
      <c r="E4" s="365"/>
      <c r="F4" s="2"/>
      <c r="Q4" s="345">
        <v>2</v>
      </c>
      <c r="R4" s="345">
        <v>3</v>
      </c>
      <c r="S4" t="b">
        <f>AND(Q4&gt;=TrimIni,Q4&lt;=TrimFin)</f>
        <v>1</v>
      </c>
    </row>
    <row r="5" spans="1:19" ht="15.75" thickBot="1">
      <c r="A5" s="367" t="s">
        <v>37</v>
      </c>
      <c r="B5" s="368">
        <v>2026</v>
      </c>
      <c r="C5" s="369" t="s">
        <v>212</v>
      </c>
      <c r="D5" s="370">
        <v>2</v>
      </c>
      <c r="E5" s="371"/>
      <c r="F5" s="3"/>
      <c r="H5" t="s">
        <v>421</v>
      </c>
      <c r="Q5" s="345">
        <v>3</v>
      </c>
      <c r="R5" s="345">
        <v>2</v>
      </c>
      <c r="S5" t="b">
        <f>AND(Q5&gt;=TrimIni,Q5&lt;=TrimFin)</f>
        <v>0</v>
      </c>
    </row>
    <row r="6" spans="1:19" ht="15">
      <c r="A6" s="372"/>
      <c r="B6" s="371"/>
      <c r="C6" s="369" t="s">
        <v>213</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1012</v>
      </c>
      <c r="B9" s="374" t="s">
        <v>1013</v>
      </c>
      <c r="C9" s="371"/>
      <c r="D9" s="371"/>
      <c r="E9" s="380"/>
      <c r="F9" s="3"/>
    </row>
    <row r="10" spans="1:19">
      <c r="A10" s="379" t="s">
        <v>1014</v>
      </c>
      <c r="B10" s="371" t="s">
        <v>1015</v>
      </c>
      <c r="C10" s="371"/>
      <c r="D10" s="371"/>
      <c r="E10" s="380"/>
      <c r="F10" s="3"/>
      <c r="Q10" s="345">
        <v>0</v>
      </c>
    </row>
    <row r="11" spans="1:19" ht="13.5" thickBot="1">
      <c r="A11" s="381" t="s">
        <v>1016</v>
      </c>
      <c r="B11" s="382" t="s">
        <v>1015</v>
      </c>
      <c r="C11" s="382"/>
      <c r="D11" s="382"/>
      <c r="E11" s="383"/>
      <c r="F11" s="3"/>
    </row>
    <row r="12" spans="1:19" ht="40.5" customHeight="1" thickBot="1">
      <c r="A12" s="373"/>
      <c r="B12" s="371"/>
      <c r="C12" s="371"/>
      <c r="D12" s="371"/>
      <c r="E12" s="371"/>
      <c r="F12" s="3"/>
      <c r="Q12" s="1100"/>
    </row>
    <row r="13" spans="1:19" ht="15">
      <c r="A13" s="384" t="s">
        <v>126</v>
      </c>
      <c r="B13" s="385" t="s">
        <v>55</v>
      </c>
      <c r="C13" s="787" t="s">
        <v>715</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yVPZxvxlWchAiA5ItW6SJwEWVsREatI3qEHcTOxbJAzwLscMiEYDECpPm7wSX2WwUsZCXuc7VKcfMzvPH7uEyA==" saltValue="D/aC2fzJBJ8yM166BlFBv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EXTREMADURA</v>
      </c>
      <c r="C2" s="374"/>
      <c r="D2" s="374"/>
      <c r="E2" s="374"/>
      <c r="F2" s="374"/>
    </row>
    <row r="3" spans="1:69" ht="19.5">
      <c r="A3" s="389" t="s">
        <v>115</v>
      </c>
      <c r="B3" s="390" t="str">
        <f>Criterios!A10 &amp;"  "&amp;Criterios!B10</f>
        <v>Provincias  BADAJOZ</v>
      </c>
      <c r="D3" s="374"/>
      <c r="E3" s="374"/>
      <c r="F3" s="374"/>
      <c r="BQ3" s="470"/>
    </row>
    <row r="4" spans="1:69" ht="13.5" thickBot="1">
      <c r="A4" s="374"/>
      <c r="B4" s="390" t="str">
        <f>Criterios!A11 &amp;"  "&amp;Criterios!B11</f>
        <v>Resumenes por Partidos Judiciales  BADAJOZ</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730</v>
      </c>
      <c r="L5" s="1218" t="s">
        <v>753</v>
      </c>
      <c r="M5" s="1218" t="s">
        <v>803</v>
      </c>
      <c r="N5" s="1221" t="s">
        <v>729</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724</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7</v>
      </c>
      <c r="C9" s="402">
        <f>IF(ISNUMBER(IF(J_V="SI",Datos!I9,Datos!I9+Datos!Y9)),IF(J_V="SI",Datos!I9,Datos!I9+Datos!Y9)," - ")</f>
        <v>5690</v>
      </c>
      <c r="D9" s="403">
        <f>IF(ISNUMBER(C9/Datos!BH9),C9/Datos!BH9," - ")</f>
        <v>812.85714285714289</v>
      </c>
      <c r="E9" s="402">
        <f>IF(ISNUMBER(IF(J_V="SI",Datos!J9,Datos!J9+Datos!Z9)),IF(J_V="SI",Datos!J9,Datos!J9+Datos!Z9)," - ")</f>
        <v>2929</v>
      </c>
      <c r="F9" s="403">
        <f>IF(ISNUMBER(E9/B9),E9/B9," - ")</f>
        <v>418.42857142857144</v>
      </c>
      <c r="G9" s="402">
        <f>IF(ISNUMBER(IF(J_V="SI",Datos!K9,Datos!K9+Datos!AA9)),IF(J_V="SI",Datos!K9,Datos!K9+Datos!AA9)," - ")</f>
        <v>3453</v>
      </c>
      <c r="H9" s="403">
        <f>IF(ISNUMBER(G9/B9),G9/B9," - ")</f>
        <v>493.28571428571428</v>
      </c>
      <c r="I9" s="402">
        <f>IF(ISNUMBER(IF(J_V="SI",Datos!L9,Datos!L9+Datos!AB9)),IF(J_V="SI",Datos!L9,Datos!L9+Datos!AB9)," - ")</f>
        <v>5231</v>
      </c>
      <c r="J9" s="403">
        <f>IF(ISNUMBER(I9/B9),I9/B9," - ")</f>
        <v>747.28571428571433</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115</v>
      </c>
      <c r="D10" s="403">
        <f>IF(ISNUMBER(C10/Datos!BH10),C10/Datos!BH10," - ")</f>
        <v>115</v>
      </c>
      <c r="E10" s="402">
        <f>IF(ISNUMBER(Datos!J10),Datos!J10," - ")</f>
        <v>37</v>
      </c>
      <c r="F10" s="403">
        <f>IF(ISNUMBER(E10/B10),E10/B10," - ")</f>
        <v>18.5</v>
      </c>
      <c r="G10" s="402">
        <f>IF(ISNUMBER(Datos!K10),Datos!K10," - ")</f>
        <v>38</v>
      </c>
      <c r="H10" s="403">
        <f>IF(ISNUMBER(G10/B10),G10/B10," - ")</f>
        <v>19</v>
      </c>
      <c r="I10" s="402">
        <f>IF(ISNUMBER(Datos!L10),Datos!L10," - ")</f>
        <v>114</v>
      </c>
      <c r="J10" s="403">
        <f>IF(ISNUMBER(I10/B10),I10/B10," - ")</f>
        <v>57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1</v>
      </c>
      <c r="C11" s="402">
        <f>IF(ISNUMBER(IF(J_V="SI",Datos!I11,Datos!I11+Datos!Y11)),IF(J_V="SI",Datos!I11,Datos!I11+Datos!Y11)," - ")</f>
        <v>531</v>
      </c>
      <c r="D11" s="403">
        <f>IF(ISNUMBER(C11/Datos!BH11),C11/Datos!BH11," - ")</f>
        <v>265.5</v>
      </c>
      <c r="E11" s="402">
        <f>IF(ISNUMBER(IF(J_V="SI",Datos!J11,Datos!J11+Datos!Z11)),IF(J_V="SI",Datos!J11,Datos!J11+Datos!Z11)," - ")</f>
        <v>364</v>
      </c>
      <c r="F11" s="403">
        <f>IF(ISNUMBER(E11/B11),E11/B11," - ")</f>
        <v>364</v>
      </c>
      <c r="G11" s="402">
        <f>IF(ISNUMBER(IF(J_V="SI",Datos!K11,Datos!K11+Datos!AA11)),IF(J_V="SI",Datos!K11,Datos!K11+Datos!AA11)," - ")</f>
        <v>292</v>
      </c>
      <c r="H11" s="403">
        <f>IF(ISNUMBER(G11/B11),G11/B11," - ")</f>
        <v>292</v>
      </c>
      <c r="I11" s="402">
        <f>IF(ISNUMBER(IF(J_V="SI",Datos!L11,Datos!L11+Datos!AB11)),IF(J_V="SI",Datos!L11,Datos!L11+Datos!AB11)," - ")</f>
        <v>603</v>
      </c>
      <c r="J11" s="403">
        <f>IF(ISNUMBER(I11/B11),I11/B11," - ")</f>
        <v>603</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f>IF(ISNUMBER(IF(J_V="SI",Datos!I12,Datos!I12+Datos!Y12)),IF(J_V="SI",Datos!I12,Datos!I12+Datos!Y12)," - ")</f>
        <v>1</v>
      </c>
      <c r="D12" s="403" t="str">
        <f>IF(ISNUMBER(C12/Datos!BH12),C12/Datos!BH12," - ")</f>
        <v xml:space="preserve"> - </v>
      </c>
      <c r="E12" s="402">
        <f>IF(ISNUMBER(IF(J_V="SI",Datos!J12,Datos!J12+Datos!Z12)),IF(J_V="SI",Datos!J12,Datos!J12+Datos!Z12)," - ")</f>
        <v>0</v>
      </c>
      <c r="F12" s="403" t="str">
        <f>IF(ISNUMBER(E12/B12),E12/B12," - ")</f>
        <v xml:space="preserve"> - </v>
      </c>
      <c r="G12" s="402">
        <f>IF(ISNUMBER(IF(J_V="SI",Datos!K12,Datos!K12+Datos!AA12)),IF(J_V="SI",Datos!K12,Datos!K12+Datos!AA12)," - ")</f>
        <v>0</v>
      </c>
      <c r="H12" s="403" t="str">
        <f>IF(ISNUMBER(G12/B12),G12/B12," - ")</f>
        <v xml:space="preserve"> - </v>
      </c>
      <c r="I12" s="402">
        <f>IF(ISNUMBER(IF(J_V="SI",Datos!L12,Datos!L12+Datos!AB12)),IF(J_V="SI",Datos!L12,Datos!L12+Datos!AB12)," - ")</f>
        <v>1</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10</v>
      </c>
      <c r="C13" s="846">
        <f>SUBTOTAL(9,C8:C12)</f>
        <v>6337</v>
      </c>
      <c r="D13" s="847" t="str">
        <f>IF(ISNUMBER(C13/Datos!BI13),C13/Datos!BI13," - ")</f>
        <v xml:space="preserve"> - </v>
      </c>
      <c r="E13" s="846">
        <f>SUBTOTAL(9,E8:E12)</f>
        <v>3330</v>
      </c>
      <c r="F13" s="847">
        <f>IF(ISNUMBER(E13/B13),E13/B13," - ")</f>
        <v>333</v>
      </c>
      <c r="G13" s="846">
        <f>SUBTOTAL(9,G8:G12)</f>
        <v>3783</v>
      </c>
      <c r="H13" s="847">
        <f>IF(ISNUMBER(G13/B13),G13/B13," - ")</f>
        <v>378.3</v>
      </c>
      <c r="I13" s="846">
        <f>SUBTOTAL(9,I8:I12)</f>
        <v>5949</v>
      </c>
      <c r="J13" s="847">
        <f>IF(ISNUMBER(I13/B13),I13/B13," - ")</f>
        <v>594.9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2362</v>
      </c>
      <c r="D15" s="403">
        <f>IF(ISNUMBER(C15/Datos!BH15),C15/Datos!BH15," - ")</f>
        <v>590.5</v>
      </c>
      <c r="E15" s="402">
        <f>IF(ISNUMBER(IF(D_I="SI",Datos!J15,Datos!J15+Datos!AD15)),IF(D_I="SI",Datos!J15,Datos!J15+Datos!AD15)," - ")</f>
        <v>2621</v>
      </c>
      <c r="F15" s="403">
        <f>IF(ISNUMBER(E15/B15),E15/B15," - ")</f>
        <v>655.25</v>
      </c>
      <c r="G15" s="402">
        <f>IF(ISNUMBER(IF(D_I="SI",Datos!K15,Datos!K15+Datos!AE15)),IF(D_I="SI",Datos!K15,Datos!K15+Datos!AE15)," - ")</f>
        <v>2585</v>
      </c>
      <c r="H15" s="403">
        <f>IF(ISNUMBER(G15/B15),G15/B15," - ")</f>
        <v>646.25</v>
      </c>
      <c r="I15" s="402">
        <f>IF(ISNUMBER(IF(D_I="SI",Datos!L15,Datos!L15+Datos!AF15)),IF(D_I="SI",Datos!L15,Datos!L15+Datos!AF15)," - ")</f>
        <v>2419</v>
      </c>
      <c r="J15" s="403">
        <f>IF(ISNUMBER(I15/B15),I15/B15," - ")</f>
        <v>604.75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258</v>
      </c>
      <c r="D18" s="403">
        <f>IF(ISNUMBER(C18/Datos!BH18),C18/Datos!BH18," - ")</f>
        <v>258</v>
      </c>
      <c r="E18" s="402">
        <f>IF(ISNUMBER(IF(D_I="SI",Datos!J18,Datos!J18+Datos!AD18)),IF(D_I="SI",Datos!J18,Datos!J18+Datos!AD18)," - ")</f>
        <v>375</v>
      </c>
      <c r="F18" s="403">
        <f>IF(ISNUMBER(E18/B18),E18/B18," - ")</f>
        <v>187.5</v>
      </c>
      <c r="G18" s="402">
        <f>IF(ISNUMBER(IF(D_I="SI",Datos!K18,Datos!K18+Datos!AE18)),IF(D_I="SI",Datos!K18,Datos!K18+Datos!AE18)," - ")</f>
        <v>341</v>
      </c>
      <c r="H18" s="403">
        <f>IF(ISNUMBER(G18/B18),G18/B18," - ")</f>
        <v>170.5</v>
      </c>
      <c r="I18" s="402">
        <f>IF(ISNUMBER(IF(D_I="SI",Datos!L18,Datos!L18+Datos!AF18)),IF(D_I="SI",Datos!L18,Datos!L18+Datos!AF18)," - ")</f>
        <v>303</v>
      </c>
      <c r="J18" s="403">
        <f>IF(ISNUMBER(I18/B18),I18/B18," - ")</f>
        <v>151.5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2620</v>
      </c>
      <c r="D19" s="847" t="str">
        <f>IF(ISNUMBER(C19/Datos!BI19),C19/Datos!BI19," - ")</f>
        <v xml:space="preserve"> - </v>
      </c>
      <c r="E19" s="846">
        <f>SUBTOTAL(9,E14:E18)</f>
        <v>2996</v>
      </c>
      <c r="F19" s="847">
        <f>IF(ISNUMBER(E19/B19),E19/B19," - ")</f>
        <v>499.33333333333331</v>
      </c>
      <c r="G19" s="846">
        <f>SUBTOTAL(9,G14:G18)</f>
        <v>2926</v>
      </c>
      <c r="H19" s="847">
        <f>IF(ISNUMBER(G19/B19),G19/B19," - ")</f>
        <v>487.66666666666669</v>
      </c>
      <c r="I19" s="846">
        <f>SUBTOTAL(9,I14:I18)</f>
        <v>2722</v>
      </c>
      <c r="J19" s="847">
        <f>IF(ISNUMBER(I19/B19),I19/B19," - ")</f>
        <v>453.66666666666669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14</v>
      </c>
      <c r="C20" s="791">
        <f>SUBTOTAL(9,C9:C19)</f>
        <v>8957</v>
      </c>
      <c r="D20" s="792" t="str">
        <f>IF(ISNUMBER(C20/Datos!BI20),C20/Datos!BI20," - ")</f>
        <v xml:space="preserve"> - </v>
      </c>
      <c r="E20" s="791">
        <f>SUBTOTAL(9,E9:E19)</f>
        <v>6326</v>
      </c>
      <c r="F20" s="792">
        <f>IF(ISNUMBER(E20/B20),E20/B20," - ")</f>
        <v>451.85714285714283</v>
      </c>
      <c r="G20" s="791">
        <f>SUBTOTAL(9,G9:G19)</f>
        <v>6709</v>
      </c>
      <c r="H20" s="792">
        <f>IF(ISNUMBER(G20/B20),G20/B20," - ")</f>
        <v>479.21428571428572</v>
      </c>
      <c r="I20" s="791">
        <f>SUBTOTAL(9,I9:I19)</f>
        <v>8671</v>
      </c>
      <c r="J20" s="792">
        <f>IF(ISNUMBER(I20/B20),I20/B20," - ")</f>
        <v>619.35714285714289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6ZTSEpZvX4kYpMnIhx1OU9TSSeN5Y6hiO+fVPkDtdlVyUVN1TxwAXy2LDY7TP1EIxRg1pBQzQjSuVeh09qJRwQ==" saltValue="taxVwHe/o94hX2e9Fllaf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EXTREMADURA</v>
      </c>
      <c r="C2" s="374"/>
      <c r="E2" s="374"/>
      <c r="F2" s="374"/>
      <c r="G2" s="374"/>
      <c r="H2" s="374"/>
    </row>
    <row r="3" spans="1:15" ht="39">
      <c r="A3" s="414" t="s">
        <v>215</v>
      </c>
      <c r="B3" s="390" t="str">
        <f>Criterios!A10 &amp;"  "&amp;Criterios!B10</f>
        <v>Provincias  BADAJOZ</v>
      </c>
      <c r="C3" s="414"/>
      <c r="F3" s="374"/>
      <c r="G3" s="374"/>
      <c r="H3" s="374"/>
    </row>
    <row r="4" spans="1:15" ht="13.5" thickBot="1">
      <c r="A4" s="374"/>
      <c r="B4" s="390" t="str">
        <f>Criterios!A11 &amp;"  "&amp;Criterios!B11</f>
        <v>Resumenes por Partidos Judiciales  BADAJOZ</v>
      </c>
      <c r="C4" s="374"/>
      <c r="E4" s="374"/>
      <c r="F4" s="374"/>
      <c r="G4" s="374"/>
      <c r="H4" s="374"/>
    </row>
    <row r="5" spans="1:15" ht="15.75" customHeight="1">
      <c r="A5" s="1237" t="str">
        <f>"Año:  " &amp;Criterios!B5</f>
        <v>Año:  2026</v>
      </c>
      <c r="B5" s="1227" t="s">
        <v>202</v>
      </c>
      <c r="C5" s="1240"/>
      <c r="D5" s="1227" t="s">
        <v>219</v>
      </c>
      <c r="E5" s="1245"/>
      <c r="F5" s="1240"/>
      <c r="G5" s="1227" t="s">
        <v>204</v>
      </c>
      <c r="H5" s="1228"/>
      <c r="I5" s="1227" t="s">
        <v>205</v>
      </c>
      <c r="J5" s="1228"/>
      <c r="K5" s="1227" t="s">
        <v>206</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203</v>
      </c>
      <c r="D7" s="415" t="s">
        <v>107</v>
      </c>
      <c r="E7" s="415" t="s">
        <v>203</v>
      </c>
      <c r="F7" s="394" t="s">
        <v>6</v>
      </c>
      <c r="G7" s="415" t="s">
        <v>107</v>
      </c>
      <c r="H7" s="415" t="s">
        <v>207</v>
      </c>
      <c r="I7" s="415" t="s">
        <v>107</v>
      </c>
      <c r="J7" s="415" t="s">
        <v>207</v>
      </c>
      <c r="K7" s="415" t="s">
        <v>107</v>
      </c>
      <c r="L7" s="416" t="s">
        <v>207</v>
      </c>
      <c r="M7" s="416" t="s">
        <v>216</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7</v>
      </c>
      <c r="D9" s="402">
        <f>Datos!BK9</f>
        <v>0</v>
      </c>
      <c r="E9" s="402">
        <f>Datos!AQ9</f>
        <v>7</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2</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1</v>
      </c>
      <c r="D11" s="402">
        <f>Datos!BK11</f>
        <v>0</v>
      </c>
      <c r="E11" s="402">
        <f>Datos!AQ11</f>
        <v>1</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2</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zxNNGldSEPdaS15bkMnI7AAIBIwup+f7MwB1s+aH3ZJsrCZgPcTPcOV7uqyaUMzM36Dj2OMeG/bAGKIbCZNQww==" saltValue="6feQt1OWmKlUqdT+UEFWH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EXTREMADURA</v>
      </c>
      <c r="C2" s="390"/>
    </row>
    <row r="3" spans="1:78" ht="19.5">
      <c r="A3" s="424" t="s">
        <v>11</v>
      </c>
      <c r="B3" s="390" t="str">
        <f>Criterios!A10 &amp;"  "&amp;Criterios!B10</f>
        <v>Provincias  BADAJOZ</v>
      </c>
      <c r="C3" s="390"/>
      <c r="D3" s="424"/>
      <c r="BZ3" s="470"/>
    </row>
    <row r="4" spans="1:78" ht="13.5" thickBot="1">
      <c r="B4" s="390" t="str">
        <f>Criterios!A11 &amp;"  "&amp;Criterios!B11</f>
        <v>Resumenes por Partidos Judiciales  BADAJOZ</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229</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230</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7</v>
      </c>
      <c r="C9" s="409">
        <f>Datos!AQ9</f>
        <v>7</v>
      </c>
      <c r="D9" s="402">
        <f>IF(ISNUMBER(Datos!M9),Datos!M9," - ")</f>
        <v>920</v>
      </c>
      <c r="E9" s="403">
        <f t="shared" ref="E9:E13" si="0">IF(ISNUMBER(D9/B9),D9/B9," - ")</f>
        <v>131.42857142857142</v>
      </c>
      <c r="F9" s="402">
        <f>IF(ISNUMBER(Datos!N9),Datos!N9," - ")</f>
        <v>1485</v>
      </c>
      <c r="G9" s="403">
        <f t="shared" ref="G9:G13" si="1">IF(ISNUMBER(F9/B9),F9/B9," - ")</f>
        <v>212.14285714285714</v>
      </c>
      <c r="H9" s="402">
        <f>IF(ISNUMBER(Datos!O9),Datos!O9," - ")</f>
        <v>1445</v>
      </c>
      <c r="I9" s="403">
        <f>IF(ISNUMBER(H9/B9),H9/B9," - ")</f>
        <v>206.42857142857142</v>
      </c>
      <c r="BZ9" s="1181">
        <f>Datos!EZ9</f>
        <v>0</v>
      </c>
    </row>
    <row r="10" spans="1:78">
      <c r="A10" s="401" t="str">
        <f>Datos!A10</f>
        <v>Sección De Violencia sobre la Mujer del TI</v>
      </c>
      <c r="B10" s="426">
        <f>Datos!AO10</f>
        <v>2</v>
      </c>
      <c r="C10" s="409">
        <f>Datos!AQ10</f>
        <v>2</v>
      </c>
      <c r="D10" s="402">
        <f>IF(ISNUMBER(Datos!M10),Datos!M10," - ")</f>
        <v>22</v>
      </c>
      <c r="E10" s="403">
        <f>IF(ISNUMBER(D10/B10),D10/B10," - ")</f>
        <v>11</v>
      </c>
      <c r="F10" s="402">
        <f>IF(ISNUMBER(Datos!N10),Datos!N10," - ")</f>
        <v>14</v>
      </c>
      <c r="G10" s="403">
        <f>IF(ISNUMBER(F10/B10),F10/B10," - ")</f>
        <v>7</v>
      </c>
      <c r="H10" s="402">
        <f>IF(ISNUMBER(Datos!O10),Datos!O10," - ")</f>
        <v>5</v>
      </c>
      <c r="I10" s="403">
        <f t="shared" ref="I10:I12" si="2">IF(ISNUMBER(H10/B10),H10/B10," - ")</f>
        <v>2.5</v>
      </c>
      <c r="BZ10" s="1181">
        <f>Datos!EZ10</f>
        <v>0</v>
      </c>
    </row>
    <row r="11" spans="1:78">
      <c r="A11" s="401" t="str">
        <f>Datos!A11</f>
        <v xml:space="preserve">Sección de Familia, infancia y capacidad del TI                           </v>
      </c>
      <c r="B11" s="426">
        <f>Datos!AO11</f>
        <v>1</v>
      </c>
      <c r="C11" s="409">
        <f>Datos!AQ11</f>
        <v>1</v>
      </c>
      <c r="D11" s="402">
        <f>IF(ISNUMBER(Datos!M11),Datos!M11," - ")</f>
        <v>113</v>
      </c>
      <c r="E11" s="403">
        <f t="shared" si="0"/>
        <v>113</v>
      </c>
      <c r="F11" s="402">
        <f>IF(ISNUMBER(Datos!N11),Datos!N11," - ")</f>
        <v>180</v>
      </c>
      <c r="G11" s="403">
        <f t="shared" si="1"/>
        <v>180</v>
      </c>
      <c r="H11" s="402">
        <f>IF(ISNUMBER(Datos!O11),Datos!O11," - ")</f>
        <v>47</v>
      </c>
      <c r="I11" s="403">
        <f t="shared" si="2"/>
        <v>47</v>
      </c>
      <c r="BZ11" s="1181">
        <f>Datos!EZ11</f>
        <v>0</v>
      </c>
    </row>
    <row r="12" spans="1:78" ht="13.5" thickBot="1">
      <c r="A12" s="401" t="str">
        <f>Datos!A12</f>
        <v xml:space="preserve">Sección Civil y de Instrucción del T.I.       </v>
      </c>
      <c r="B12" s="426">
        <f>Datos!AO12</f>
        <v>0</v>
      </c>
      <c r="C12" s="409">
        <f>Datos!AQ12</f>
        <v>0</v>
      </c>
      <c r="D12" s="402">
        <f>IF(ISNUMBER(Datos!M12),Datos!M12," - ")</f>
        <v>0</v>
      </c>
      <c r="E12" s="403" t="str">
        <f t="shared" si="0"/>
        <v xml:space="preserve"> - </v>
      </c>
      <c r="F12" s="402">
        <f>IF(ISNUMBER(Datos!N12),Datos!N12," - ")</f>
        <v>0</v>
      </c>
      <c r="G12" s="403" t="str">
        <f t="shared" si="1"/>
        <v xml:space="preserve"> - </v>
      </c>
      <c r="H12" s="402">
        <f>IF(ISNUMBER(Datos!O12),Datos!O12," - ")</f>
        <v>0</v>
      </c>
      <c r="I12" s="403" t="str">
        <f t="shared" si="2"/>
        <v xml:space="preserve"> - </v>
      </c>
      <c r="BZ12" s="1181">
        <f>Datos!EZ12</f>
        <v>0</v>
      </c>
    </row>
    <row r="13" spans="1:78" ht="14.25" thickTop="1" thickBot="1">
      <c r="A13" s="845" t="str">
        <f>Datos!A13</f>
        <v>TOTAL</v>
      </c>
      <c r="B13" s="846">
        <f>Datos!AP13</f>
        <v>10</v>
      </c>
      <c r="C13" s="848">
        <f>Datos!AR13</f>
        <v>10</v>
      </c>
      <c r="D13" s="846">
        <f>SUBTOTAL(9,D9:D12)</f>
        <v>1055</v>
      </c>
      <c r="E13" s="847">
        <f t="shared" si="0"/>
        <v>105.5</v>
      </c>
      <c r="F13" s="846">
        <f>SUBTOTAL(9,F9:F12)</f>
        <v>1679</v>
      </c>
      <c r="G13" s="847">
        <f t="shared" si="1"/>
        <v>167.9</v>
      </c>
      <c r="H13" s="846">
        <f>SUBTOTAL(9,H9:H12)</f>
        <v>1497</v>
      </c>
      <c r="I13" s="847">
        <f>IF(ISNUMBER(H13/B13),H13/B13," - ")</f>
        <v>149.69999999999999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334</v>
      </c>
      <c r="E15" s="403">
        <f t="shared" ref="E15:E19" si="3">IF(ISNUMBER(D15/B15),D15/B15," - ")</f>
        <v>83.5</v>
      </c>
      <c r="F15" s="402">
        <f>IF(ISNUMBER(Datos!N15),Datos!N15," - ")</f>
        <v>1588</v>
      </c>
      <c r="G15" s="403">
        <f t="shared" ref="G15:G19" si="4">IF(ISNUMBER(F15/B15),F15/B15," - ")</f>
        <v>397</v>
      </c>
      <c r="H15" s="402">
        <f>IF(ISNUMBER(Datos!O15),Datos!O15," - ")</f>
        <v>157</v>
      </c>
      <c r="I15" s="403">
        <f t="shared" ref="I15:I18" si="5">IF(ISNUMBER(H15/B15),H15/B15," - ")</f>
        <v>39.25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60</v>
      </c>
      <c r="E18" s="403">
        <f>IF(ISNUMBER(D18/B18),D18/B18," - ")</f>
        <v>30</v>
      </c>
      <c r="F18" s="402">
        <f>IF(ISNUMBER(Datos!N18),Datos!N18," - ")</f>
        <v>205</v>
      </c>
      <c r="G18" s="403">
        <f>IF(ISNUMBER(F18/B18),F18/B18," - ")</f>
        <v>102.5</v>
      </c>
      <c r="H18" s="402">
        <f>IF(ISNUMBER(Datos!O18),Datos!O18," - ")</f>
        <v>8</v>
      </c>
      <c r="I18" s="403">
        <f t="shared" si="5"/>
        <v>4</v>
      </c>
      <c r="BZ18" s="1181">
        <f>Datos!EZ18</f>
        <v>0</v>
      </c>
    </row>
    <row r="19" spans="1:78" ht="14.25" thickTop="1" thickBot="1">
      <c r="A19" s="845" t="str">
        <f>Datos!A19</f>
        <v>TOTAL</v>
      </c>
      <c r="B19" s="846">
        <f>Datos!AP19</f>
        <v>6</v>
      </c>
      <c r="C19" s="848">
        <f>Datos!AR19</f>
        <v>6</v>
      </c>
      <c r="D19" s="846">
        <f>SUBTOTAL(9,D15:D18)</f>
        <v>394</v>
      </c>
      <c r="E19" s="847">
        <f t="shared" si="3"/>
        <v>65.666666666666671</v>
      </c>
      <c r="F19" s="846">
        <f>SUBTOTAL(9,F15:F18)</f>
        <v>1793</v>
      </c>
      <c r="G19" s="847">
        <f t="shared" si="4"/>
        <v>298.83333333333331</v>
      </c>
      <c r="H19" s="846">
        <f>SUBTOTAL(9,H15:H18)</f>
        <v>165</v>
      </c>
      <c r="I19" s="847">
        <f>IF(ISNUMBER(H19/B19),H19/B19," - ")</f>
        <v>27.5</v>
      </c>
      <c r="BZ19" s="1181"/>
    </row>
    <row r="20" spans="1:78" ht="14.25" thickTop="1" thickBot="1">
      <c r="A20" s="790" t="str">
        <f>Datos!A20</f>
        <v>TOTAL JURISDICCIONES</v>
      </c>
      <c r="B20" s="791">
        <f>Datos!AP20</f>
        <v>14</v>
      </c>
      <c r="C20" s="791">
        <f>Datos!AR20</f>
        <v>14</v>
      </c>
      <c r="D20" s="791">
        <f>SUBTOTAL(9,D8:D19)</f>
        <v>1449</v>
      </c>
      <c r="E20" s="792">
        <f>IF(ISNUMBER(D20/B20),D20/B20," - ")</f>
        <v>103.5</v>
      </c>
      <c r="F20" s="791">
        <f>SUBTOTAL(9,F8:F19)</f>
        <v>3472</v>
      </c>
      <c r="G20" s="792">
        <f>IF(ISNUMBER(F20/B20),F20/B20," - ")</f>
        <v>248</v>
      </c>
      <c r="H20" s="791">
        <f>SUBTOTAL(9,H8:H19)</f>
        <v>1662</v>
      </c>
      <c r="I20" s="792">
        <f>IF(ISNUMBER(H20/B20),H20/B20," - ")</f>
        <v>118.71428571428571</v>
      </c>
    </row>
    <row r="23" spans="1:78">
      <c r="A23" s="390" t="str">
        <f>Criterios!A4</f>
        <v>Fecha Informe: 06 oct. 2026</v>
      </c>
    </row>
    <row r="28" spans="1:78">
      <c r="A28" s="413"/>
    </row>
  </sheetData>
  <sheetProtection algorithmName="SHA-512" hashValue="+ixyTtCL6CnRBvO9khB/Vdqb4+SnNotQHWdM3CT5ZAol77xtpl5V3vKfsl7hiitIgw/RV6XjaIYL6AGQRsiOmQ==" saltValue="fVNGVsZyuaPhJLq/DK8WW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EXTREMADURA</v>
      </c>
    </row>
    <row r="3" spans="1:4" ht="19.5">
      <c r="A3" s="428" t="s">
        <v>32</v>
      </c>
      <c r="B3" s="390" t="str">
        <f>Criterios!A10 &amp;"  "&amp;Criterios!B10</f>
        <v>Provincias  BADAJOZ</v>
      </c>
    </row>
    <row r="4" spans="1:4" ht="13.5" thickBot="1">
      <c r="B4" s="390" t="str">
        <f>Criterios!A11 &amp;"  "&amp;Criterios!B11</f>
        <v>Resumenes por Partidos Judiciales  BADAJOZ</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821</v>
      </c>
      <c r="C9" s="433">
        <f>IF(ISNUMBER(Datos!Q9),Datos!Q9," - ")</f>
        <v>1070</v>
      </c>
      <c r="D9" s="407">
        <f>IF(ISNUMBER(Datos!R9),Datos!R9," - ")</f>
        <v>10384</v>
      </c>
    </row>
    <row r="10" spans="1:4">
      <c r="A10" s="401" t="str">
        <f>Datos!A10</f>
        <v>Sección De Violencia sobre la Mujer del TI</v>
      </c>
      <c r="B10" s="432">
        <f>IF(ISNUMBER(Datos!P10),Datos!P10," - ")</f>
        <v>11</v>
      </c>
      <c r="C10" s="433">
        <f>IF(ISNUMBER(Datos!Q10),Datos!Q10," - ")</f>
        <v>8</v>
      </c>
      <c r="D10" s="407">
        <f>IF(ISNUMBER(Datos!R10),Datos!R10," - ")</f>
        <v>77</v>
      </c>
    </row>
    <row r="11" spans="1:4">
      <c r="A11" s="401" t="str">
        <f>Datos!A11</f>
        <v xml:space="preserve">Sección de Familia, infancia y capacidad del TI                           </v>
      </c>
      <c r="B11" s="432">
        <f>IF(ISNUMBER(Datos!P11),Datos!P11," - ")</f>
        <v>46</v>
      </c>
      <c r="C11" s="433">
        <f>IF(ISNUMBER(Datos!Q11),Datos!Q11," - ")</f>
        <v>66</v>
      </c>
      <c r="D11" s="407">
        <f>IF(ISNUMBER(Datos!R11),Datos!R11," - ")</f>
        <v>317</v>
      </c>
    </row>
    <row r="12" spans="1:4" ht="13.5" thickBot="1">
      <c r="A12" s="401" t="str">
        <f>Datos!A12</f>
        <v xml:space="preserve">Sección Civil y de Instrucción del T.I.       </v>
      </c>
      <c r="B12" s="432">
        <f>IF(ISNUMBER(Datos!P12),Datos!P12," - ")</f>
        <v>0</v>
      </c>
      <c r="C12" s="433">
        <f>IF(ISNUMBER(Datos!Q12),Datos!Q12," - ")</f>
        <v>0</v>
      </c>
      <c r="D12" s="407">
        <f>IF(ISNUMBER(Datos!R12),Datos!R12," - ")</f>
        <v>24</v>
      </c>
    </row>
    <row r="13" spans="1:4" ht="14.25" thickTop="1" thickBot="1">
      <c r="A13" s="845" t="str">
        <f>Datos!A13</f>
        <v>TOTAL</v>
      </c>
      <c r="B13" s="846">
        <f>SUBTOTAL(9,B9:B12)</f>
        <v>878</v>
      </c>
      <c r="C13" s="850">
        <f>SUBTOTAL(9,C9:C12)</f>
        <v>1144</v>
      </c>
      <c r="D13" s="848">
        <f>SUBTOTAL(9,D9:D12)</f>
        <v>10802</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89</v>
      </c>
      <c r="C15" s="433">
        <f>IF(ISNUMBER(Datos!Q15),Datos!Q15," - ")</f>
        <v>157</v>
      </c>
      <c r="D15" s="407">
        <f>IF(ISNUMBER(Datos!R15),Datos!R15," - ")</f>
        <v>191</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5</v>
      </c>
      <c r="C18" s="433">
        <f>IF(ISNUMBER(Datos!Q18),Datos!Q18," - ")</f>
        <v>8</v>
      </c>
      <c r="D18" s="407">
        <f>IF(ISNUMBER(Datos!R18),Datos!R18," - ")</f>
        <v>15</v>
      </c>
    </row>
    <row r="19" spans="1:4" ht="14.25" thickTop="1" thickBot="1">
      <c r="A19" s="845" t="str">
        <f>Datos!A19</f>
        <v>TOTAL</v>
      </c>
      <c r="B19" s="846">
        <f>SUBTOTAL(9,B15:B18)</f>
        <v>94</v>
      </c>
      <c r="C19" s="850">
        <f>SUBTOTAL(9,C15:C18)</f>
        <v>165</v>
      </c>
      <c r="D19" s="848">
        <f>SUBTOTAL(9,D15:D18)</f>
        <v>206</v>
      </c>
    </row>
    <row r="20" spans="1:4" ht="16.5" customHeight="1" thickTop="1" thickBot="1">
      <c r="A20" s="790" t="str">
        <f>Datos!A20</f>
        <v>TOTAL JURISDICCIONES</v>
      </c>
      <c r="B20" s="795">
        <f>SUBTOTAL(9,B8:B19)</f>
        <v>972</v>
      </c>
      <c r="C20" s="796">
        <f>SUBTOTAL(9,C8:C19)</f>
        <v>1309</v>
      </c>
      <c r="D20" s="797">
        <f>SUBTOTAL(9,D8:D19)</f>
        <v>11008</v>
      </c>
    </row>
    <row r="21" spans="1:4" ht="7.5" customHeight="1"/>
    <row r="22" spans="1:4" ht="6" customHeight="1"/>
    <row r="23" spans="1:4">
      <c r="A23" s="390" t="str">
        <f>Criterios!A4</f>
        <v>Fecha Informe: 06 oct. 2026</v>
      </c>
    </row>
    <row r="28" spans="1:4">
      <c r="A28" s="413"/>
    </row>
  </sheetData>
  <sheetProtection algorithmName="SHA-512" hashValue="tB1IY8FDwQpFGwN0DAmtHZY9KkzVftWWCk9NI8u+CqkHsTs2DmoUOIMJ3IgL0NEjnk/nsbpJhOFgbrJc9xiH+A==" saltValue="RvRdqeD2nVjdSgsXrc/Ul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EXTREMADURA</v>
      </c>
    </row>
    <row r="3" spans="1:11" ht="18.75" customHeight="1">
      <c r="A3" s="428" t="s">
        <v>118</v>
      </c>
      <c r="B3" s="390" t="str">
        <f>Criterios!A10 &amp;"  "&amp;Criterios!B10</f>
        <v>Provincias  BADAJOZ</v>
      </c>
    </row>
    <row r="4" spans="1:11" ht="10.5" customHeight="1" thickBot="1">
      <c r="B4" s="390" t="str">
        <f>Criterios!A11 &amp;"  "&amp;Criterios!B11</f>
        <v>Resumenes por Partidos Judiciales  BADAJOZ</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-0.29105407425865937</v>
      </c>
      <c r="C9" s="455">
        <f>IF(ISNUMBER(
   IF(J_V="SI",(Datos!J9-Datos!T9)/Datos!T9,(Datos!J9+Datos!Z9-(Datos!T9+Datos!AH9))/(Datos!T9+Datos!AH9))
     ),IF(J_V="SI",(Datos!J9-Datos!T9)/Datos!T9,(Datos!J9+Datos!Z9-(Datos!T9+Datos!AH9))/(Datos!T9+Datos!AH9))," - ")</f>
        <v>0.13527131782945737</v>
      </c>
      <c r="D9" s="455">
        <f>IF(ISNUMBER(
   IF(J_V="SI",(Datos!K9-Datos!U9)/Datos!U9,(Datos!K9+Datos!AA9-(Datos!U9+Datos!AI9))/(Datos!U9+Datos!AI9))
     ),IF(J_V="SI",(Datos!K9-Datos!U9)/Datos!U9,(Datos!K9+Datos!AA9-(Datos!U9+Datos!AI9))/(Datos!U9+Datos!AI9))," - ")</f>
        <v>-1.9312695257029253E-2</v>
      </c>
      <c r="E9" s="455">
        <f>IF(ISNUMBER(
   IF(J_V="SI",(Datos!L9-Datos!V9)/Datos!V9,(Datos!L9+Datos!AB9-(Datos!V9+Datos!AJ9))/(Datos!V9+Datos!AJ9))
     ),IF(J_V="SI",(Datos!L9-Datos!V9)/Datos!V9,(Datos!L9+Datos!AB9-(Datos!V9+Datos!AJ9))/(Datos!V9+Datos!AJ9))," - ")</f>
        <v>-0.28244170096021948</v>
      </c>
      <c r="F9" s="455">
        <f>IF(ISNUMBER((Datos!M9-Datos!W9)/Datos!W9),(Datos!M9-Datos!W9)/Datos!W9," - ")</f>
        <v>-6.313645621181263E-2</v>
      </c>
      <c r="G9" s="456">
        <f>IF(ISNUMBER((Datos!N9-Datos!X9)/Datos!X9),(Datos!N9-Datos!X9)/Datos!X9," - ")</f>
        <v>3.4122562674094706E-2</v>
      </c>
      <c r="H9" s="454">
        <f>IF(ISNUMBER(((NºAsuntos!G9/NºAsuntos!E9)-Datos!BD9)/Datos!BD9),((NºAsuntos!G9/NºAsuntos!E9)-Datos!BD9)/Datos!BD9," - ")</f>
        <v>-0.13616481862858842</v>
      </c>
      <c r="I9" s="455">
        <f>IF(ISNUMBER(((NºAsuntos!I9/NºAsuntos!G9)-Datos!BE9)/Datos!BE9),((NºAsuntos!I9/NºAsuntos!G9)-Datos!BE9)/Datos!BE9," - ")</f>
        <v>-0.26831081062291706</v>
      </c>
      <c r="J9" s="460">
        <f>IF(ISNUMBER((('Resol  Asuntos'!D9/NºAsuntos!G9)-Datos!BF9)/Datos!BF9),(('Resol  Asuntos'!D9/NºAsuntos!G9)-Datos!BF9)/Datos!BF9," - ")</f>
        <v>-0.34671477791303351</v>
      </c>
      <c r="K9" s="461">
        <f>IF(ISNUMBER((((NºAsuntos!C9+NºAsuntos!E9)/NºAsuntos!G9)-Datos!BG9)/Datos!BG9),(((NºAsuntos!C9+NºAsuntos!E9)/NºAsuntos!G9)-Datos!BG9)/Datos!BG9," - ")</f>
        <v>-0.171343188362963</v>
      </c>
    </row>
    <row r="10" spans="1:11" ht="21">
      <c r="A10" s="401" t="str">
        <f>Datos!A10</f>
        <v>Sección De Violencia sobre la Mujer del TI</v>
      </c>
      <c r="B10" s="454">
        <f>IF(ISNUMBER((Datos!I10-Datos!S10)/Datos!S10),(Datos!I10-Datos!S10)/Datos!S10," - ")</f>
        <v>0</v>
      </c>
      <c r="C10" s="455">
        <f>IF(ISNUMBER((Datos!J10-Datos!T10)/Datos!T10),(Datos!J10-Datos!T10)/Datos!T10," - ")</f>
        <v>0.23333333333333334</v>
      </c>
      <c r="D10" s="455">
        <f>IF(ISNUMBER((Datos!K10-Datos!U10)/Datos!U10),(Datos!K10-Datos!U10)/Datos!U10," - ")</f>
        <v>-2.564102564102564E-2</v>
      </c>
      <c r="E10" s="455">
        <f>IF(ISNUMBER((Datos!L10-Datos!V10)/Datos!V10),(Datos!L10-Datos!V10)/Datos!V10," - ")</f>
        <v>7.5471698113207544E-2</v>
      </c>
      <c r="F10" s="455">
        <f>IF(ISNUMBER((Datos!M10-Datos!W10)/Datos!W10),(Datos!M10-Datos!W10)/Datos!W10," - ")</f>
        <v>0.15789473684210525</v>
      </c>
      <c r="G10" s="456">
        <f>IF(ISNUMBER((Datos!N10-Datos!X10)/Datos!X10),(Datos!N10-Datos!X10)/Datos!X10," - ")</f>
        <v>-6.6666666666666666E-2</v>
      </c>
      <c r="H10" s="454">
        <f>IF(ISNUMBER(((NºAsuntos!G10/NºAsuntos!E10)-Datos!BD10)/Datos!BD10),((NºAsuntos!G10/NºAsuntos!E10)-Datos!BD10)/Datos!BD10," - ")</f>
        <v>-0.20997920997921005</v>
      </c>
      <c r="I10" s="455">
        <f>IF(ISNUMBER(((NºAsuntos!I10/NºAsuntos!G10)-Datos!BE10)/Datos!BE10),((NºAsuntos!I10/NºAsuntos!G10)-Datos!BE10)/Datos!BE10," - ")</f>
        <v>0.10377358490566033</v>
      </c>
      <c r="J10" s="460">
        <f>IF(ISNUMBER((('Resol  Asuntos'!D10/NºAsuntos!G10)-Datos!BF10)/Datos!BF10),(('Resol  Asuntos'!D10/NºAsuntos!G10)-Datos!BF10)/Datos!BF10," - ")</f>
        <v>0.18836565096952915</v>
      </c>
      <c r="K10" s="461">
        <f>IF(ISNUMBER((((NºAsuntos!C10+NºAsuntos!E10)/NºAsuntos!G10)-Datos!BG10)/Datos!BG10),(((NºAsuntos!C10+NºAsuntos!E10)/NºAsuntos!G10)-Datos!BG10)/Datos!BG10," - ")</f>
        <v>7.5862068965517213E-2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7.2727272727272724E-2</v>
      </c>
      <c r="C11" s="455">
        <f>IF(ISNUMBER(
   IF(J_V="SI",(Datos!J11-Datos!T11)/Datos!T11,(Datos!J11+Datos!Z11-(Datos!T11+Datos!AH11))/(Datos!T11+Datos!AH11))
     ),IF(J_V="SI",(Datos!J11-Datos!T11)/Datos!T11,(Datos!J11+Datos!Z11-(Datos!T11+Datos!AH11))/(Datos!T11+Datos!AH11))," - ")</f>
        <v>0.41634241245136189</v>
      </c>
      <c r="D11" s="455">
        <f>IF(ISNUMBER(
   IF(J_V="SI",(Datos!K11-Datos!U11)/Datos!U11,(Datos!K11+Datos!AA11-(Datos!U11+Datos!AI11))/(Datos!U11+Datos!AI11))
     ),IF(J_V="SI",(Datos!K11-Datos!U11)/Datos!U11,(Datos!K11+Datos!AA11-(Datos!U11+Datos!AI11))/(Datos!U11+Datos!AI11))," - ")</f>
        <v>-5.5016181229773461E-2</v>
      </c>
      <c r="E11" s="455">
        <f>IF(ISNUMBER(
   IF(J_V="SI",(Datos!L11-Datos!V11)/Datos!V11,(Datos!L11+Datos!AB11-(Datos!V11+Datos!AJ11))/(Datos!V11+Datos!AJ11))
     ),IF(J_V="SI",(Datos!L11-Datos!V11)/Datos!V11,(Datos!L11+Datos!AB11-(Datos!V11+Datos!AJ11))/(Datos!V11+Datos!AJ11))," - ")</f>
        <v>0.45301204819277108</v>
      </c>
      <c r="F11" s="455">
        <f>IF(ISNUMBER((Datos!M11-Datos!W11)/Datos!W11),(Datos!M11-Datos!W11)/Datos!W11," - ")</f>
        <v>-0.26143790849673204</v>
      </c>
      <c r="G11" s="456">
        <f>IF(ISNUMBER((Datos!N11-Datos!X11)/Datos!X11),(Datos!N11-Datos!X11)/Datos!X11," - ")</f>
        <v>2.2727272727272728E-2</v>
      </c>
      <c r="H11" s="454">
        <f>IF(ISNUMBER(((NºAsuntos!G11/NºAsuntos!E11)-Datos!BD11)/Datos!BD11),((NºAsuntos!G11/NºAsuntos!E11)-Datos!BD11)/Datos!BD11," - ")</f>
        <v>-0.33279988619794437</v>
      </c>
      <c r="I11" s="455">
        <f>IF(ISNUMBER(((NºAsuntos!I11/NºAsuntos!G11)-Datos!BE11)/Datos!BE11),((NºAsuntos!I11/NºAsuntos!G11)-Datos!BE11)/Datos!BE11," - ")</f>
        <v>0.53760521538207628</v>
      </c>
      <c r="J11" s="460">
        <f>IF(ISNUMBER((('Resol  Asuntos'!D11/NºAsuntos!G11)-Datos!BF11)/Datos!BF11),(('Resol  Asuntos'!D11/NºAsuntos!G11)-Datos!BF11)/Datos!BF11," - ")</f>
        <v>-0.32057518679950187</v>
      </c>
      <c r="K11" s="461">
        <f>IF(ISNUMBER((((NºAsuntos!C11+NºAsuntos!E11)/NºAsuntos!G11)-Datos!BG11)/Datos!BG11),(((NºAsuntos!C11+NºAsuntos!E11)/NºAsuntos!G11)-Datos!BG11)/Datos!BG11," - ")</f>
        <v>0.25944968668026813</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f>IF(ISNUMBER(
   IF(J_V="SI",(Datos!L12-Datos!V12)/Datos!V12,(Datos!L12+Datos!AB12-(Datos!V12+Datos!AJ12))/(Datos!V12+Datos!AJ12))
     ),IF(J_V="SI",(Datos!L12-Datos!V12)/Datos!V12,(Datos!L12+Datos!AB12-(Datos!V12+Datos!AJ12))/(Datos!V12+Datos!AJ12))," - ")</f>
        <v>0</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-0.26629616765080466</v>
      </c>
      <c r="C13" s="852">
        <f>IF(ISNUMBER(
   IF(J_V="SI",(Datos!J13-Datos!T13)/Datos!T13,(Datos!J13+Datos!Z13-(Datos!T13+Datos!AH13))/(Datos!T13+Datos!AH13))
     ),IF(J_V="SI",(Datos!J13-Datos!T13)/Datos!T13,(Datos!J13+Datos!Z13-(Datos!T13+Datos!AH13))/(Datos!T13+Datos!AH13))," - ")</f>
        <v>0.16149284966864319</v>
      </c>
      <c r="D13" s="852">
        <f>IF(ISNUMBER(
   IF(J_V="SI",(Datos!K13-Datos!U13)/Datos!U13,(Datos!K13+Datos!AA13-(Datos!U13+Datos!AI13))/(Datos!U13+Datos!AI13))
     ),IF(J_V="SI",(Datos!K13-Datos!U13)/Datos!U13,(Datos!K13+Datos!AA13-(Datos!U13+Datos!AI13))/(Datos!U13+Datos!AI13))," - ")</f>
        <v>-2.2227965882657016E-2</v>
      </c>
      <c r="E13" s="852">
        <f>IF(ISNUMBER(
   IF(J_V="SI",(Datos!L13-Datos!V13)/Datos!V13,(Datos!L13+Datos!AB13-(Datos!V13+Datos!AJ13))/(Datos!V13+Datos!AJ13))
     ),IF(J_V="SI",(Datos!L13-Datos!V13)/Datos!V13,(Datos!L13+Datos!AB13-(Datos!V13+Datos!AJ13))/(Datos!V13+Datos!AJ13))," - ")</f>
        <v>-0.23847926267281105</v>
      </c>
      <c r="F13" s="853">
        <f>IF(ISNUMBER((Datos!M13-Datos!W13)/Datos!W13),(Datos!M13-Datos!W13)/Datos!W13," - ")</f>
        <v>-8.578856152512998E-2</v>
      </c>
      <c r="G13" s="854">
        <f>IF(ISNUMBER((Datos!N13-Datos!X13)/Datos!X13),(Datos!N13-Datos!X13)/Datos!X13," - ")</f>
        <v>3.196066379840197E-2</v>
      </c>
      <c r="H13" s="854">
        <f>IF(ISNUMBER(((NºAsuntos!G13/NºAsuntos!E13)-Datos!BD13)/Datos!BD13),((NºAsuntos!G13/NºAsuntos!E13)-Datos!BD13)/Datos!BD13," - ")</f>
        <v>-0.15817644990557891</v>
      </c>
      <c r="I13" s="854">
        <f>IF(ISNUMBER(((NºAsuntos!I13/NºAsuntos!G13)-Datos!BE13)/Datos!BE13),((NºAsuntos!I13/NºAsuntos!G13)-Datos!BE13)/Datos!BE13," - ")</f>
        <v>-0.22116739817105632</v>
      </c>
      <c r="J13" s="854">
        <f>IF(ISNUMBER((('Resol  Asuntos'!D13/NºAsuntos!G13)-Datos!BF13)/Datos!BF13),(('Resol  Asuntos'!D13/NºAsuntos!G13)-Datos!BF13)/Datos!BF13," - ")</f>
        <v>-0.33845272171009966</v>
      </c>
      <c r="K13" s="854">
        <f>IF(ISNUMBER((((NºAsuntos!C13+NºAsuntos!E13)/NºAsuntos!G13)-Datos!BG13)/Datos!BG13),(((NºAsuntos!C13+NºAsuntos!E13)/NºAsuntos!G13)-Datos!BG13)/Datos!BG13," - ")</f>
        <v>-0.14058043965077657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8.6476540938362462E-2</v>
      </c>
      <c r="C15" s="455">
        <f>IF(ISNUMBER(
   IF(D_I="SI",(Datos!J15-Datos!T15)/Datos!T15,(Datos!J15+Datos!AD15-(Datos!T15+Datos!AL15))/(Datos!T15+Datos!AL15))
     ),IF(D_I="SI",(Datos!J15-Datos!T15)/Datos!T15,(Datos!J15+Datos!AD15-(Datos!T15+Datos!AL15))/(Datos!T15+Datos!AL15))," - ")</f>
        <v>3.0267295597484277E-2</v>
      </c>
      <c r="D15" s="455">
        <f>IF(ISNUMBER(
   IF(D_I="SI",(Datos!K15-Datos!U15)/Datos!U15,(Datos!K15+Datos!AE15-(Datos!U15+Datos!AM15))/(Datos!U15+Datos!AM15))
     ),IF(D_I="SI",(Datos!K15-Datos!U15)/Datos!U15,(Datos!K15+Datos!AE15-(Datos!U15+Datos!AM15))/(Datos!U15+Datos!AM15))," - ")</f>
        <v>9.3713393205778987E-3</v>
      </c>
      <c r="E15" s="455">
        <f>IF(ISNUMBER(
   IF(D_I="SI",(Datos!L15-Datos!V15)/Datos!V15,(Datos!L15+Datos!AF15-(Datos!V15+Datos!AN15))/(Datos!V15+Datos!AN15))
     ),IF(D_I="SI",(Datos!L15-Datos!V15)/Datos!V15,(Datos!L15+Datos!AF15-(Datos!V15+Datos!AN15))/(Datos!V15+Datos!AN15))," - ")</f>
        <v>0.10709382151029748</v>
      </c>
      <c r="F15" s="455">
        <f>IF(ISNUMBER((Datos!M15-Datos!W15)/Datos!W15),(Datos!M15-Datos!W15)/Datos!W15," - ")</f>
        <v>-6.4425770308123242E-2</v>
      </c>
      <c r="G15" s="456">
        <f>IF(ISNUMBER((Datos!N15-Datos!X15)/Datos!X15),(Datos!N15-Datos!X15)/Datos!X15," - ")</f>
        <v>-3.2886723507917173E-2</v>
      </c>
      <c r="H15" s="454">
        <f>IF(ISNUMBER(((NºAsuntos!G15/NºAsuntos!E15)-Datos!BD15)/Datos!BD15),((NºAsuntos!G15/NºAsuntos!E15)-Datos!BD15)/Datos!BD15," - ")</f>
        <v>-2.0282072784605028E-2</v>
      </c>
      <c r="I15" s="455">
        <f>IF(ISNUMBER(((NºAsuntos!I15/NºAsuntos!G15)-Datos!BE15)/Datos!BE15),((NºAsuntos!I15/NºAsuntos!G15)-Datos!BE15)/Datos!BE15," - ")</f>
        <v>9.6815194153915554E-2</v>
      </c>
      <c r="J15" s="460">
        <f>IF(ISNUMBER((('Resol  Asuntos'!D15/NºAsuntos!G15)-Datos!BF15)/Datos!BF15),(('Resol  Asuntos'!D15/NºAsuntos!G15)-Datos!BF15)/Datos!BF15," - ")</f>
        <v>-7.3111952711451988E-2</v>
      </c>
      <c r="K15" s="461">
        <f>IF(ISNUMBER((((NºAsuntos!C15+NºAsuntos!E15)/NºAsuntos!G15)-Datos!BG15)/Datos!BG15),(((NºAsuntos!C15+NºAsuntos!E15)/NºAsuntos!G15)-Datos!BG15)/Datos!BG15," - ")</f>
        <v>4.6362053881467954E-2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0.60248447204968947</v>
      </c>
      <c r="C18" s="455">
        <f>IF(ISNUMBER(
   IF(D_I="SI",(Datos!J18-Datos!T18)/Datos!T18,(Datos!J18+Datos!AD18-(Datos!T18+Datos!AL18))/(Datos!T18+Datos!AL18))
     ),IF(D_I="SI",(Datos!J18-Datos!T18)/Datos!T18,(Datos!J18+Datos!AD18-(Datos!T18+Datos!AL18))/(Datos!T18+Datos!AL18))," - ")</f>
        <v>0.76886792452830188</v>
      </c>
      <c r="D18" s="455">
        <f>IF(ISNUMBER(
   IF(D_I="SI",(Datos!K18-Datos!U18)/Datos!U18,(Datos!K18+Datos!AE18-(Datos!U18+Datos!AM18))/(Datos!U18+Datos!AM18))
     ),IF(D_I="SI",(Datos!K18-Datos!U18)/Datos!U18,(Datos!K18+Datos!AE18-(Datos!U18+Datos!AM18))/(Datos!U18+Datos!AM18))," - ")</f>
        <v>0.536036036036036</v>
      </c>
      <c r="E18" s="455">
        <f>IF(ISNUMBER(
   IF(D_I="SI",(Datos!L18-Datos!V18)/Datos!V18,(Datos!L18+Datos!AF18-(Datos!V18+Datos!AN18))/(Datos!V18+Datos!AN18))
     ),IF(D_I="SI",(Datos!L18-Datos!V18)/Datos!V18,(Datos!L18+Datos!AF18-(Datos!V18+Datos!AN18))/(Datos!V18+Datos!AN18))," - ")</f>
        <v>1.0066225165562914</v>
      </c>
      <c r="F18" s="455">
        <f>IF(ISNUMBER((Datos!M18-Datos!W18)/Datos!W18),(Datos!M18-Datos!W18)/Datos!W18," - ")</f>
        <v>0.17647058823529413</v>
      </c>
      <c r="G18" s="456">
        <f>IF(ISNUMBER((Datos!N18-Datos!X18)/Datos!X18),(Datos!N18-Datos!X18)/Datos!X18," - ")</f>
        <v>0.6015625</v>
      </c>
      <c r="H18" s="454">
        <f>IF(ISNUMBER(((NºAsuntos!G18/NºAsuntos!E18)-Datos!BD18)/Datos!BD18),((NºAsuntos!G18/NºAsuntos!E18)-Datos!BD18)/Datos!BD18," - ")</f>
        <v>-0.13162762762762772</v>
      </c>
      <c r="I18" s="455">
        <f>IF(ISNUMBER(((NºAsuntos!I18/NºAsuntos!G18)-Datos!BE18)/Datos!BE18),((NºAsuntos!I18/NºAsuntos!G18)-Datos!BE18)/Datos!BE18," - ")</f>
        <v>0.30636421898972627</v>
      </c>
      <c r="J18" s="460">
        <f>IF(ISNUMBER((('Resol  Asuntos'!D18/NºAsuntos!G18)-Datos!BF18)/Datos!BF18),(('Resol  Asuntos'!D18/NºAsuntos!G18)-Datos!BF18)/Datos!BF18," - ")</f>
        <v>-0.234086596515439</v>
      </c>
      <c r="K18" s="461">
        <f>IF(ISNUMBER((((NºAsuntos!C18+NºAsuntos!E18)/NºAsuntos!G18)-Datos!BG18)/Datos!BG18),(((NºAsuntos!C18+NºAsuntos!E18)/NºAsuntos!G18)-Datos!BG18)/Datos!BG18," - ")</f>
        <v>0.10482495105862742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0.12205567451820129</v>
      </c>
      <c r="C19" s="852">
        <f>IF(ISNUMBER(
   IF(Criterios!B14="SI",(Datos!J19-Datos!T19)/Datos!T19,(Datos!J19+Datos!AD19-(Datos!T19+Datos!AL19))/(Datos!T19+Datos!AL19))
     ),IF(Criterios!B14="SI",(Datos!J19-Datos!T19)/Datos!T19,(Datos!J19+Datos!AD19-(Datos!T19+Datos!AL19))/(Datos!T19+Datos!AL19))," - ")</f>
        <v>8.7082728592162553E-2</v>
      </c>
      <c r="D19" s="852">
        <f>IF(ISNUMBER(
   IF(Criterios!B14="SI",(Datos!K19-Datos!U19)/Datos!U19,(Datos!K19+Datos!AE19-(Datos!U19+Datos!AM19))/(Datos!U19+Datos!AM19))
     ),IF(Criterios!B14="SI",(Datos!K19-Datos!U19)/Datos!U19,(Datos!K19+Datos!AE19-(Datos!U19+Datos!AM19))/(Datos!U19+Datos!AM19))," - ")</f>
        <v>5.1383399209486168E-2</v>
      </c>
      <c r="E19" s="852">
        <f>IF(ISNUMBER(
   IF(Criterios!B14="SI",(Datos!L19-Datos!V19)/Datos!V19,(Datos!L19+Datos!AF19-(Datos!V19+Datos!AN19))/(Datos!V19+Datos!AN19))
     ),IF(Criterios!B14="SI",(Datos!L19-Datos!V19)/Datos!V19,(Datos!L19+Datos!AF19-(Datos!V19+Datos!AN19))/(Datos!V19+Datos!AN19))," - ")</f>
        <v>0.16523972602739725</v>
      </c>
      <c r="F19" s="853">
        <f>IF(ISNUMBER((Datos!M19-Datos!W19)/Datos!W19),(Datos!M19-Datos!W19)/Datos!W19," - ")</f>
        <v>-3.4313725490196081E-2</v>
      </c>
      <c r="G19" s="854">
        <f>IF(ISNUMBER((Datos!N19-Datos!X19)/Datos!X19),(Datos!N19-Datos!X19)/Datos!X19," - ")</f>
        <v>1.2994350282485875E-2</v>
      </c>
      <c r="H19" s="854">
        <f>IF(ISNUMBER(((NºAsuntos!G19/NºAsuntos!E19)-Datos!BD19)/Datos!BD19),((NºAsuntos!G19/NºAsuntos!E19)-Datos!BD19)/Datos!BD19," - ")</f>
        <v>-3.2839570019578136E-2</v>
      </c>
      <c r="I19" s="854">
        <f>IF(ISNUMBER(((NºAsuntos!I19/NºAsuntos!G19)-Datos!BE19)/Datos!BE19),((NºAsuntos!I19/NºAsuntos!G19)-Datos!BE19)/Datos!BE19," - ")</f>
        <v>0.10829191986816349</v>
      </c>
      <c r="J19" s="854">
        <f>IF(ISNUMBER((('Resol  Asuntos'!D19/NºAsuntos!G19)-Datos!BF19)/Datos!BF19),(('Resol  Asuntos'!D19/NºAsuntos!G19)-Datos!BF19)/Datos!BF19," - ")</f>
        <v>-8.1508919357216519E-2</v>
      </c>
      <c r="K19" s="854">
        <f>IF(ISNUMBER((((NºAsuntos!C19+NºAsuntos!E19)/NºAsuntos!G19)-Datos!BG19)/Datos!BG19),(((NºAsuntos!C19+NºAsuntos!E19)/NºAsuntos!G19)-Datos!BG19)/Datos!BG19," - ")</f>
        <v>4.9211124452262063E-2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-0.18364928909952608</v>
      </c>
      <c r="C20" s="799">
        <f>IF(ISNUMBER(
   IF(J_V="SI",(Datos!J20-Datos!T20)/Datos!T20,(Datos!J20+Datos!Z20-(Datos!T20+Datos!AH20))/(Datos!T20+Datos!AH20))
     ),IF(J_V="SI",(Datos!J20-Datos!T20)/Datos!T20,(Datos!J20+Datos!Z20-(Datos!T20+Datos!AH20))/(Datos!T20+Datos!AH20))," - ")</f>
        <v>0.12502223012626712</v>
      </c>
      <c r="D20" s="799">
        <f>IF(ISNUMBER(
   IF(J_V="SI",(Datos!K20-Datos!U20)/Datos!U20,(Datos!K20+Datos!AA20-(Datos!U20+Datos!AI20))/(Datos!U20+Datos!AI20))
     ),IF(J_V="SI",(Datos!K20-Datos!U20)/Datos!U20,(Datos!K20+Datos!AA20-(Datos!U20+Datos!AI20))/(Datos!U20+Datos!AI20))," - ")</f>
        <v>8.5688514732411309E-3</v>
      </c>
      <c r="E20" s="799">
        <f>IF(ISNUMBER(
   IF(J_V="SI",(Datos!L20-Datos!V20)/Datos!V20,(Datos!L20+Datos!AB20-(Datos!V20+Datos!AJ20))/(Datos!V20+Datos!AJ20))
     ),IF(J_V="SI",(Datos!L20-Datos!V20)/Datos!V20,(Datos!L20+Datos!AB20-(Datos!V20+Datos!AJ20))/(Datos!V20+Datos!AJ20))," - ")</f>
        <v>-0.1455459203783997</v>
      </c>
      <c r="F20" s="800">
        <f>IF(ISNUMBER((Datos!M20-Datos!W20)/Datos!W20),(Datos!M20-Datos!W20)/Datos!W20," - ")</f>
        <v>-7.2343149807938545E-2</v>
      </c>
      <c r="G20" s="801">
        <f>IF(ISNUMBER((Datos!N20-Datos!X20)/Datos!X20),(Datos!N20-Datos!X20)/Datos!X20," - ")</f>
        <v>2.2078304386223137E-2</v>
      </c>
      <c r="H20" s="802">
        <f>IF(ISNUMBER((Tasas!B20-Datos!BD20)/Datos!BD20),(Tasas!B20-Datos!BD20)/Datos!BD20," - ")</f>
        <v>-0.10351206894814503</v>
      </c>
      <c r="I20" s="803">
        <f>IF(ISNUMBER((Tasas!C20-Datos!BE20)/Datos!BE20),(Tasas!C20-Datos!BE20)/Datos!BE20," - ")</f>
        <v>-0.15280540503161646</v>
      </c>
      <c r="J20" s="804">
        <f>IF(ISNUMBER((Tasas!D20-Datos!BF20)/Datos!BF20),(Tasas!D20-Datos!BF20)/Datos!BF20," - ")</f>
        <v>-0.29539518223089178</v>
      </c>
      <c r="K20" s="804">
        <f>IF(ISNUMBER((Tasas!E20-Datos!BG20)/Datos!BG20),(Tasas!E20-Datos!BG20)/Datos!BG20," - ")</f>
        <v>-8.688431053949322E-2</v>
      </c>
    </row>
    <row r="21" spans="1:12">
      <c r="A21" s="410"/>
      <c r="B21" s="410"/>
      <c r="C21" s="410"/>
      <c r="D21" s="410"/>
      <c r="E21" s="410"/>
    </row>
    <row r="22" spans="1:12" ht="70.5" customHeight="1">
      <c r="A22" s="1255" t="s">
        <v>149</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dXF6GGbqS5UZxfNrEu3GKhdc12DElCqjWqq1j9Ougg0Gtqdl2v4x1mdSUac7QuV8IkGszTKYAT2B30nYcWHFbQ==" saltValue="CZueq0qbXj4MPPDoYv0Xl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EXTREMADURA</v>
      </c>
    </row>
    <row r="3" spans="1:7" ht="19.5">
      <c r="A3" s="435" t="s">
        <v>12</v>
      </c>
      <c r="B3" s="390" t="str">
        <f>Criterios!A10 &amp;"  "&amp;Criterios!B10</f>
        <v>Provincias  BADAJOZ</v>
      </c>
    </row>
    <row r="4" spans="1:7" ht="11.25" customHeight="1" thickBot="1">
      <c r="B4" s="390" t="str">
        <f>Criterios!A11 &amp;"  "&amp;Criterios!B11</f>
        <v>Resumenes por Partidos Judiciales  BADAJOZ</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1.1789006486855582</v>
      </c>
      <c r="C9" s="442">
        <f>IF(ISNUMBER(NºAsuntos!I9/NºAsuntos!G9),NºAsuntos!I9/NºAsuntos!G9," - ")</f>
        <v>1.514914567043151</v>
      </c>
      <c r="D9" s="443">
        <f>IF(ISNUMBER('Resol  Asuntos'!D9/NºAsuntos!G9),'Resol  Asuntos'!D9/NºAsuntos!G9," - ")</f>
        <v>0.26643498407182159</v>
      </c>
      <c r="E9" s="444">
        <f>IF(ISNUMBER((NºAsuntos!C9+NºAsuntos!E9)/NºAsuntos!G9),(NºAsuntos!C9+NºAsuntos!E9)/NºAsuntos!G9," - ")</f>
        <v>2.4960903562119894</v>
      </c>
      <c r="G9" s="462"/>
    </row>
    <row r="10" spans="1:7" ht="21">
      <c r="A10" s="401" t="str">
        <f>Datos!A10</f>
        <v>Sección De Violencia sobre la Mujer del TI</v>
      </c>
      <c r="B10" s="441">
        <f>IF(ISNUMBER(NºAsuntos!G10/NºAsuntos!E10),NºAsuntos!G10/NºAsuntos!E10," - ")</f>
        <v>1.027027027027027</v>
      </c>
      <c r="C10" s="442">
        <f>IF(ISNUMBER(NºAsuntos!I10/NºAsuntos!G10),NºAsuntos!I10/NºAsuntos!G10," - ")</f>
        <v>3</v>
      </c>
      <c r="D10" s="443">
        <f>IF(ISNUMBER('Resol  Asuntos'!D10/NºAsuntos!G10),'Resol  Asuntos'!D10/NºAsuntos!G10," - ")</f>
        <v>0.57894736842105265</v>
      </c>
      <c r="E10" s="444">
        <f>IF(ISNUMBER((NºAsuntos!C10+NºAsuntos!E10)/NºAsuntos!G10),(NºAsuntos!C10+NºAsuntos!E10)/NºAsuntos!G10," - ")</f>
        <v>4</v>
      </c>
      <c r="G10" s="462"/>
    </row>
    <row r="11" spans="1:7" ht="21">
      <c r="A11" s="401" t="str">
        <f>Datos!A11</f>
        <v xml:space="preserve">Sección de Familia, infancia y capacidad del TI                           </v>
      </c>
      <c r="B11" s="441">
        <f>IF(ISNUMBER(NºAsuntos!G11/NºAsuntos!E11),NºAsuntos!G11/NºAsuntos!E11," - ")</f>
        <v>0.80219780219780223</v>
      </c>
      <c r="C11" s="442">
        <f>IF(ISNUMBER(NºAsuntos!I11/NºAsuntos!G11),NºAsuntos!I11/NºAsuntos!G11," - ")</f>
        <v>2.0650684931506849</v>
      </c>
      <c r="D11" s="443">
        <f>IF(ISNUMBER('Resol  Asuntos'!D11/NºAsuntos!G11),'Resol  Asuntos'!D11/NºAsuntos!G11," - ")</f>
        <v>0.38698630136986301</v>
      </c>
      <c r="E11" s="444">
        <f>IF(ISNUMBER((NºAsuntos!C11+NºAsuntos!E11)/NºAsuntos!G11),(NºAsuntos!C11+NºAsuntos!E11)/NºAsuntos!G11," - ")</f>
        <v>3.0650684931506849</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1.136036036036036</v>
      </c>
      <c r="C13" s="856">
        <f>IF(ISNUMBER(NºAsuntos!I13/NºAsuntos!G13),NºAsuntos!I13/NºAsuntos!G13," - ")</f>
        <v>1.5725614591593973</v>
      </c>
      <c r="D13" s="857">
        <f>IF(ISNUMBER('Resol  Asuntos'!D13/NºAsuntos!G13),'Resol  Asuntos'!D13/NºAsuntos!G13," - ")</f>
        <v>0.27887919640496961</v>
      </c>
      <c r="E13" s="858">
        <f>IF(ISNUMBER((NºAsuntos!C13+NºAsuntos!E13)/NºAsuntos!G13),(NºAsuntos!C13+NºAsuntos!E13)/NºAsuntos!G13," - ")</f>
        <v>2.5553793285752047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0.98626478443342236</v>
      </c>
      <c r="C15" s="442">
        <f>IF(ISNUMBER(NºAsuntos!I15/NºAsuntos!G15),NºAsuntos!I15/NºAsuntos!G15," - ")</f>
        <v>0.9357833655705996</v>
      </c>
      <c r="D15" s="443">
        <f>IF(ISNUMBER('Resol  Asuntos'!D15/NºAsuntos!G15),'Resol  Asuntos'!D15/NºAsuntos!G15," - ")</f>
        <v>0.12920696324951644</v>
      </c>
      <c r="E15" s="444">
        <f>IF(ISNUMBER((NºAsuntos!C15+NºAsuntos!E15)/NºAsuntos!G15),(NºAsuntos!C15+NºAsuntos!E15)/NºAsuntos!G15," - ")</f>
        <v>1.9276595744680851</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0.90933333333333333</v>
      </c>
      <c r="C18" s="442">
        <f>IF(ISNUMBER(NºAsuntos!I18/NºAsuntos!G18),NºAsuntos!I18/NºAsuntos!G18," - ")</f>
        <v>0.88856304985337242</v>
      </c>
      <c r="D18" s="443">
        <f>IF(ISNUMBER('Resol  Asuntos'!D18/NºAsuntos!G18),'Resol  Asuntos'!D18/NºAsuntos!G18," - ")</f>
        <v>0.17595307917888564</v>
      </c>
      <c r="E18" s="444">
        <f>IF(ISNUMBER((NºAsuntos!C18+NºAsuntos!E18)/NºAsuntos!G18),(NºAsuntos!C18+NºAsuntos!E18)/NºAsuntos!G18," - ")</f>
        <v>1.8563049853372433</v>
      </c>
      <c r="G18" s="462"/>
    </row>
    <row r="19" spans="1:7" ht="14.25" thickTop="1" thickBot="1">
      <c r="A19" s="845" t="str">
        <f>Datos!A19</f>
        <v>TOTAL</v>
      </c>
      <c r="B19" s="855">
        <f>IF(ISNUMBER(NºAsuntos!G19/NºAsuntos!E19),NºAsuntos!G19/NºAsuntos!E19," - ")</f>
        <v>0.97663551401869164</v>
      </c>
      <c r="C19" s="856">
        <f>IF(ISNUMBER(NºAsuntos!I19/NºAsuntos!G19),NºAsuntos!I19/NºAsuntos!G19," - ")</f>
        <v>0.93028024606971971</v>
      </c>
      <c r="D19" s="859">
        <f>IF(ISNUMBER('Resol  Asuntos'!D19/NºAsuntos!G19),'Resol  Asuntos'!D19/NºAsuntos!G19," - ")</f>
        <v>0.13465481886534519</v>
      </c>
      <c r="E19" s="858">
        <f>IF(ISNUMBER((NºAsuntos!C19+NºAsuntos!E19)/NºAsuntos!G19),(NºAsuntos!C19+NºAsuntos!E19)/NºAsuntos!G19," - ")</f>
        <v>1.9193438140806562</v>
      </c>
      <c r="G19" s="462"/>
    </row>
    <row r="20" spans="1:7" ht="15.75" customHeight="1" thickTop="1" thickBot="1">
      <c r="A20" s="790" t="str">
        <f>Datos!A20</f>
        <v>TOTAL JURISDICCIONES</v>
      </c>
      <c r="B20" s="805">
        <f>IF(ISNUMBER(NºAsuntos!G20/NºAsuntos!E20),NºAsuntos!G20/NºAsuntos!E20," - ")</f>
        <v>1.0605437875434713</v>
      </c>
      <c r="C20" s="806">
        <f>IF(ISNUMBER(NºAsuntos!I20/NºAsuntos!G20),NºAsuntos!I20/NºAsuntos!G20," - ")</f>
        <v>1.2924429870323446</v>
      </c>
      <c r="D20" s="807">
        <f>IF(ISNUMBER('Resol  Asuntos'!D20/NºAsuntos!G20),'Resol  Asuntos'!D20/NºAsuntos!G20," - ")</f>
        <v>0.21597853629452973</v>
      </c>
      <c r="E20" s="808">
        <f>IF(ISNUMBER((NºAsuntos!C20+NºAsuntos!E20)/NºAsuntos!G20),(NºAsuntos!C20+NºAsuntos!E20)/NºAsuntos!G20," - ")</f>
        <v>2.2779847965419586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LMpPu2lMEF5L2AIi5BRPfU8xu50z3ATZpySrCpDysK+mcnoixnYAuqyxcEfDkK4lRvHjWDvfGwULX56giDdsPA==" saltValue="Pz7zOjxRVY5cJj0bNElyk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EXTREMADURA</v>
      </c>
      <c r="G2" s="262"/>
      <c r="H2" s="261"/>
      <c r="I2" s="261"/>
      <c r="J2" s="261"/>
      <c r="K2" s="261"/>
      <c r="L2" s="261" t="str">
        <f>Criterios!A10 &amp;"  "&amp;Criterios!B10</f>
        <v>Provincias  BADAJOZ</v>
      </c>
      <c r="N2" s="261" t="str">
        <f>Criterios!A11 &amp;"  "&amp;Criterios!B11</f>
        <v>Resumenes por Partidos Judiciales  BADAJOZ</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348</v>
      </c>
      <c r="B5" s="271"/>
      <c r="C5" s="1293" t="str">
        <f>"Año:  " &amp;Criterios!B$5 &amp; "          Trimestre   " &amp;Criterios!D$5 &amp; " al " &amp;Criterios!D$6</f>
        <v>Año:  2026          Trimestre   2 al 2</v>
      </c>
      <c r="D5" s="1272" t="s">
        <v>373</v>
      </c>
      <c r="E5" s="1272" t="s">
        <v>315</v>
      </c>
      <c r="F5" s="1295" t="s">
        <v>403</v>
      </c>
      <c r="G5" s="1298" t="s">
        <v>130</v>
      </c>
      <c r="H5" s="1278" t="s">
        <v>157</v>
      </c>
      <c r="I5" s="1278" t="s">
        <v>161</v>
      </c>
      <c r="J5" s="1278" t="s">
        <v>162</v>
      </c>
      <c r="K5" s="1278" t="s">
        <v>404</v>
      </c>
      <c r="L5" s="1278" t="s">
        <v>574</v>
      </c>
      <c r="M5" s="1278" t="s">
        <v>319</v>
      </c>
      <c r="N5" s="1278" t="s">
        <v>374</v>
      </c>
      <c r="O5" s="1278" t="s">
        <v>406</v>
      </c>
      <c r="P5" s="1278" t="s">
        <v>160</v>
      </c>
      <c r="Q5" s="1278" t="s">
        <v>41</v>
      </c>
      <c r="R5" s="1304" t="s">
        <v>163</v>
      </c>
      <c r="S5" s="1307" t="s">
        <v>166</v>
      </c>
      <c r="T5" s="1325" t="s">
        <v>167</v>
      </c>
      <c r="U5" s="1322" t="s">
        <v>168</v>
      </c>
      <c r="V5" s="1316" t="s">
        <v>317</v>
      </c>
      <c r="W5" s="1281" t="s">
        <v>169</v>
      </c>
      <c r="X5" s="1284" t="s">
        <v>170</v>
      </c>
      <c r="Y5" s="1284" t="s">
        <v>171</v>
      </c>
      <c r="Z5" s="1319" t="s">
        <v>172</v>
      </c>
      <c r="AA5" s="1275" t="s">
        <v>173</v>
      </c>
      <c r="AB5" s="1278" t="s">
        <v>174</v>
      </c>
      <c r="AC5" s="1278" t="s">
        <v>175</v>
      </c>
      <c r="AD5" s="1287" t="s">
        <v>176</v>
      </c>
      <c r="AE5" s="1272" t="s">
        <v>179</v>
      </c>
      <c r="AF5" s="1310" t="s">
        <v>177</v>
      </c>
      <c r="AG5" s="1278" t="s">
        <v>178</v>
      </c>
      <c r="AH5" s="1304" t="s">
        <v>197</v>
      </c>
      <c r="AI5" s="1275" t="s">
        <v>180</v>
      </c>
      <c r="AJ5" s="1313" t="s">
        <v>244</v>
      </c>
      <c r="AK5" s="1301" t="s">
        <v>245</v>
      </c>
      <c r="AL5" s="1272" t="s">
        <v>246</v>
      </c>
      <c r="AM5" s="1272" t="s">
        <v>356</v>
      </c>
      <c r="AN5" s="1272" t="s">
        <v>247</v>
      </c>
      <c r="AO5" s="1272" t="s">
        <v>248</v>
      </c>
      <c r="AP5" s="1272" t="s">
        <v>298</v>
      </c>
      <c r="AQ5" s="1272" t="s">
        <v>181</v>
      </c>
      <c r="AR5" s="1272" t="s">
        <v>182</v>
      </c>
      <c r="AS5" s="1272" t="s">
        <v>385</v>
      </c>
      <c r="AT5" s="1272" t="s">
        <v>291</v>
      </c>
      <c r="AU5" s="1272" t="s">
        <v>292</v>
      </c>
      <c r="AV5" s="1272" t="s">
        <v>330</v>
      </c>
      <c r="AW5" s="1272" t="s">
        <v>787</v>
      </c>
      <c r="AX5" s="1272" t="s">
        <v>318</v>
      </c>
      <c r="AY5" s="1272" t="s">
        <v>734</v>
      </c>
      <c r="AZ5" s="1272" t="s">
        <v>735</v>
      </c>
      <c r="BF5" s="1330" t="s">
        <v>198</v>
      </c>
      <c r="BG5" s="1331"/>
      <c r="BH5" s="1330" t="s">
        <v>199</v>
      </c>
      <c r="BI5" s="1331"/>
      <c r="BJ5" s="1330" t="s">
        <v>200</v>
      </c>
      <c r="BK5" s="1331"/>
      <c r="BL5" s="1330" t="s">
        <v>201</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158</v>
      </c>
      <c r="BG6" s="1328" t="s">
        <v>159</v>
      </c>
      <c r="BH6" s="1328" t="s">
        <v>158</v>
      </c>
      <c r="BI6" s="1328" t="s">
        <v>159</v>
      </c>
      <c r="BJ6" s="1328" t="s">
        <v>158</v>
      </c>
      <c r="BK6" s="1328" t="s">
        <v>159</v>
      </c>
      <c r="BL6" s="1328" t="s">
        <v>158</v>
      </c>
      <c r="BM6" s="1328" t="s">
        <v>159</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7</v>
      </c>
      <c r="B9" s="176" t="s">
        <v>243</v>
      </c>
      <c r="C9" s="159" t="str">
        <f>Datos!A9</f>
        <v>Sección Civil del T.I</v>
      </c>
      <c r="D9" s="159"/>
      <c r="E9" s="1020">
        <f>IF(ISNUMBER(Datos!AQ9),Datos!AQ9," - ")</f>
        <v>7</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821</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1070</v>
      </c>
      <c r="Y9" s="333">
        <f>SUM(W9:X9)</f>
        <v>1070</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10384</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920</v>
      </c>
      <c r="AJ9" s="228" t="str">
        <f>IF(ISNUMBER(Datos!BW9),Datos!BW9," - ")</f>
        <v xml:space="preserve"> - </v>
      </c>
      <c r="AK9" s="227" t="str">
        <f>IF(ISNUMBER(Datos!BX9),Datos!BX9," - ")</f>
        <v xml:space="preserve"> - </v>
      </c>
      <c r="AL9" s="242">
        <f>IF(ISNUMBER(NºAsuntos!G9/NºAsuntos!E9),NºAsuntos!G9/NºAsuntos!E9," - ")</f>
        <v>1.1789006486855582</v>
      </c>
      <c r="AM9" s="259">
        <f>IF(ISNUMBER(((NºAsuntos!I9/NºAsuntos!G9)*11)/factor_trimestre),((NºAsuntos!I9/NºAsuntos!G9)*11)/factor_trimestre," - ")</f>
        <v>4.5447437011294536</v>
      </c>
      <c r="AN9" s="243">
        <f>IF(ISNUMBER('Resol  Asuntos'!D9/NºAsuntos!G9),'Resol  Asuntos'!D9/NºAsuntos!G9," - ")</f>
        <v>0.26643498407182159</v>
      </c>
      <c r="AO9" s="244">
        <f>IF(ISNUMBER((NºAsuntos!C9+NºAsuntos!E9)/NºAsuntos!G9),(NºAsuntos!C9+NºAsuntos!E9)/NºAsuntos!G9," - ")</f>
        <v>2.4960903562119894</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243</v>
      </c>
      <c r="C10" s="7" t="str">
        <f>Datos!A10</f>
        <v>Sección De Violencia sobre la Mujer del TI</v>
      </c>
      <c r="D10" s="7"/>
      <c r="E10" s="1020">
        <f>IF(ISNUMBER(Datos!AQ10),Datos!AQ10," - ")</f>
        <v>2</v>
      </c>
      <c r="F10" s="224">
        <f>IF(ISNUMBER(Datos!L10+Datos!K10-Datos!J10-K10),Datos!L10+Datos!K10-Datos!J10-K10," - ")</f>
        <v>115</v>
      </c>
      <c r="G10" s="332">
        <f>IF(ISNUMBER(Datos!I10),Datos!I10," - ")</f>
        <v>115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38</v>
      </c>
      <c r="X10" s="225">
        <f>IF(ISNUMBER(Datos!Q10),Datos!Q10," - ")</f>
        <v>8</v>
      </c>
      <c r="Y10" s="333">
        <f t="shared" ref="Y10:Y12" si="0">SUM(W10:X10)</f>
        <v>46</v>
      </c>
      <c r="Z10" s="334" t="str">
        <f>IF(ISNUMBER(Datos!CC10),Datos!CC10," - ")</f>
        <v xml:space="preserve"> - </v>
      </c>
      <c r="AA10" s="331">
        <f>IF(ISNUMBER(Datos!L10),Datos!L10,"-")</f>
        <v>114</v>
      </c>
      <c r="AB10" s="333">
        <f>IF(ISNUMBER(Datos!R10),Datos!R10," - ")</f>
        <v>77</v>
      </c>
      <c r="AC10" s="333">
        <f t="shared" ref="AC10:AC12" si="1">IF(ISNUMBER(AA10+AB10),AA10+AB10," - ")</f>
        <v>191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22</v>
      </c>
      <c r="AJ10" s="230" t="str">
        <f>IF(ISNUMBER(Datos!BW10),Datos!BW10," - ")</f>
        <v xml:space="preserve"> - </v>
      </c>
      <c r="AK10" s="231" t="str">
        <f>IF(ISNUMBER(Datos!BX10),Datos!BX10," - ")</f>
        <v xml:space="preserve"> - </v>
      </c>
      <c r="AL10" s="242">
        <f>IF(ISNUMBER(NºAsuntos!G10/NºAsuntos!E10),NºAsuntos!G10/NºAsuntos!E10," - ")</f>
        <v>1.027027027027027</v>
      </c>
      <c r="AM10" s="259">
        <f>IF(ISNUMBER(((NºAsuntos!I10/NºAsuntos!G10)*11)/factor_trimestre),((NºAsuntos!I10/NºAsuntos!G10)*11)/factor_trimestre," - ")</f>
        <v>9</v>
      </c>
      <c r="AN10" s="243">
        <f>IF(ISNUMBER('Resol  Asuntos'!D10/NºAsuntos!G10),'Resol  Asuntos'!D10/NºAsuntos!G10," - ")</f>
        <v>0.57894736842105265</v>
      </c>
      <c r="AO10" s="244">
        <f>IF(ISNUMBER((NºAsuntos!C10+NºAsuntos!E10)/NºAsuntos!G10),(NºAsuntos!C10+NºAsuntos!E10)/NºAsuntos!G10," - ")</f>
        <v>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1</v>
      </c>
      <c r="B11" s="274" t="s">
        <v>243</v>
      </c>
      <c r="C11" s="7" t="str">
        <f>Datos!A11</f>
        <v xml:space="preserve">Sección de Familia, infancia y capacidad del TI                           </v>
      </c>
      <c r="D11" s="7"/>
      <c r="E11" s="1020">
        <f>IF(ISNUMBER(Datos!AQ11),Datos!AQ11," - ")</f>
        <v>1</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46</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66</v>
      </c>
      <c r="Y11" s="333">
        <f t="shared" si="0"/>
        <v>66</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317</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113</v>
      </c>
      <c r="AJ11" s="230" t="str">
        <f>IF(ISNUMBER(Datos!BW11),Datos!BW11," - ")</f>
        <v xml:space="preserve"> - </v>
      </c>
      <c r="AK11" s="231" t="str">
        <f>IF(ISNUMBER(Datos!BX11),Datos!BX11," - ")</f>
        <v xml:space="preserve"> - </v>
      </c>
      <c r="AL11" s="242">
        <f>IF(ISNUMBER(NºAsuntos!G11/NºAsuntos!E11),NºAsuntos!G11/NºAsuntos!E11," - ")</f>
        <v>0.80219780219780223</v>
      </c>
      <c r="AM11" s="259">
        <f>IF(ISNUMBER(((NºAsuntos!I11/NºAsuntos!G11)*11)/factor_trimestre),((NºAsuntos!I11/NºAsuntos!G11)*11)/factor_trimestre," - ")</f>
        <v>6.1952054794520555</v>
      </c>
      <c r="AN11" s="243">
        <f>IF(ISNUMBER('Resol  Asuntos'!D11/NºAsuntos!G11),'Resol  Asuntos'!D11/NºAsuntos!G11," - ")</f>
        <v>0.38698630136986301</v>
      </c>
      <c r="AO11" s="244">
        <f>IF(ISNUMBER((NºAsuntos!C11+NºAsuntos!E11)/NºAsuntos!G11),(NºAsuntos!C11+NºAsuntos!E11)/NºAsuntos!G11," - ")</f>
        <v>3.0650684931506849</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243</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0</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0</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10</v>
      </c>
      <c r="F13" s="862">
        <f t="shared" si="3"/>
        <v>115</v>
      </c>
      <c r="G13" s="863">
        <f t="shared" si="3"/>
        <v>115</v>
      </c>
      <c r="H13" s="862">
        <f t="shared" si="3"/>
        <v>0</v>
      </c>
      <c r="I13" s="864">
        <f t="shared" si="3"/>
        <v>0</v>
      </c>
      <c r="J13" s="864">
        <f t="shared" si="3"/>
        <v>0</v>
      </c>
      <c r="K13" s="864">
        <f t="shared" si="3"/>
        <v>0</v>
      </c>
      <c r="L13" s="864">
        <f t="shared" si="3"/>
        <v>878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38</v>
      </c>
      <c r="X13" s="864">
        <f t="shared" si="4"/>
        <v>1144</v>
      </c>
      <c r="Y13" s="865">
        <f t="shared" si="4"/>
        <v>1182</v>
      </c>
      <c r="Z13" s="865">
        <f t="shared" si="4"/>
        <v>0</v>
      </c>
      <c r="AA13" s="865">
        <f t="shared" si="4"/>
        <v>114</v>
      </c>
      <c r="AB13" s="865">
        <f t="shared" si="4"/>
        <v>10802</v>
      </c>
      <c r="AC13" s="865">
        <f t="shared" si="4"/>
        <v>191</v>
      </c>
      <c r="AD13" s="865">
        <f t="shared" si="4"/>
        <v>0</v>
      </c>
      <c r="AE13" s="869">
        <f t="shared" si="4"/>
        <v>0</v>
      </c>
      <c r="AF13" s="862">
        <f t="shared" si="4"/>
        <v>0</v>
      </c>
      <c r="AG13" s="870">
        <f t="shared" si="4"/>
        <v>0</v>
      </c>
      <c r="AH13" s="867">
        <f t="shared" si="4"/>
        <v>0</v>
      </c>
      <c r="AI13" s="862">
        <f t="shared" si="4"/>
        <v>1055</v>
      </c>
      <c r="AJ13" s="864">
        <f t="shared" si="4"/>
        <v>0</v>
      </c>
      <c r="AK13" s="867">
        <f>SUBTOTAL(9,AK9:AK12)</f>
        <v>0</v>
      </c>
      <c r="AL13" s="871">
        <f>IF(ISNUMBER(NºAsuntos!G13/NºAsuntos!E13),NºAsuntos!G13/NºAsuntos!E13," - ")</f>
        <v>1.136036036036036</v>
      </c>
      <c r="AM13" s="871">
        <f>IF(ISNUMBER(((NºAsuntos!I13/NºAsuntos!G13)*11)/factor_trimestre),((NºAsuntos!I13/NºAsuntos!G13)*11)/factor_trimestre," - ")</f>
        <v>4.717684377478192</v>
      </c>
      <c r="AN13" s="872">
        <f>IF(ISNUMBER('Resol  Asuntos'!D13/NºAsuntos!G13),'Resol  Asuntos'!D13/NºAsuntos!G13," - ")</f>
        <v>0.27887919640496961</v>
      </c>
      <c r="AO13" s="873">
        <f>IF(ISNUMBER((NºAsuntos!C13+NºAsuntos!E13)/NºAsuntos!G13),(NºAsuntos!C13+NºAsuntos!E13)/NºAsuntos!G13," - ")</f>
        <v>2.5553793285752047</v>
      </c>
      <c r="AP13" s="874" t="str">
        <f t="shared" si="2"/>
        <v xml:space="preserve"> - </v>
      </c>
      <c r="AQ13" s="874">
        <f>IF(ISNUMBER((H13-W13+K13)/(F13)),(H13-W13+K13)/(F13)," - ")</f>
        <v>-0.33043478260869563</v>
      </c>
      <c r="AR13" s="875">
        <f>IF(ISNUMBER((Datos!P13-Datos!Q13)/(Datos!R13-Datos!P13+Datos!Q13)),(Datos!P13-Datos!Q13)/(Datos!R13-Datos!P13+Datos!Q13)," - ")</f>
        <v>-2.4033249006143838E-2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393</v>
      </c>
      <c r="C15" s="159" t="str">
        <f>Datos!A15</f>
        <v xml:space="preserve">Seccion Instruccion Del T.I.                   </v>
      </c>
      <c r="D15" s="159"/>
      <c r="E15" s="1020">
        <f>IF(ISNUMBER(Datos!AQ15),Datos!AQ15," - ")</f>
        <v>4</v>
      </c>
      <c r="F15" s="224">
        <f>IF(ISNUMBER(AA15+W15-Datos!J15-K15),AA15+W15-Datos!J15-K15," - ")</f>
        <v>2383</v>
      </c>
      <c r="G15" s="332">
        <f>IF(ISNUMBER(IF(D_I="SI",Datos!I15,Datos!I15+Datos!AC15)),IF(D_I="SI",Datos!I15,Datos!I15+Datos!AC15)," - ")</f>
        <v>2362</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89</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2585</v>
      </c>
      <c r="X15" s="225">
        <f>IF(ISNUMBER(Datos!Q15),Datos!Q15," - ")</f>
        <v>157</v>
      </c>
      <c r="Y15" s="333">
        <f>SUM(W15)</f>
        <v>2585</v>
      </c>
      <c r="Z15" s="334" t="str">
        <f>IF(ISNUMBER(Datos!CC15),Datos!CC15," - ")</f>
        <v xml:space="preserve"> - </v>
      </c>
      <c r="AA15" s="331">
        <f>IF(ISNUMBER(IF(D_I="SI",Datos!L15,Datos!L15+Datos!AF15)),IF(D_I="SI",Datos!L15,Datos!L15+Datos!AF15)," - ")</f>
        <v>2419</v>
      </c>
      <c r="AB15" s="333">
        <f>IF(ISNUMBER(Datos!R15),Datos!R15," - ")</f>
        <v>191</v>
      </c>
      <c r="AC15" s="333">
        <f t="shared" ref="AC15:AC18" si="6">IF(ISNUMBER(AA15+AB15),AA15+AB15," - ")</f>
        <v>2610</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334</v>
      </c>
      <c r="AJ15" s="230" t="str">
        <f>IF(ISNUMBER(Datos!BW15),Datos!BW15," - ")</f>
        <v xml:space="preserve"> - </v>
      </c>
      <c r="AK15" s="231" t="str">
        <f>IF(ISNUMBER(Datos!BX15),Datos!BX15," - ")</f>
        <v xml:space="preserve"> - </v>
      </c>
      <c r="AL15" s="242">
        <f>IF(ISNUMBER(NºAsuntos!G15/NºAsuntos!E15),NºAsuntos!G15/NºAsuntos!E15," - ")</f>
        <v>0.98626478443342236</v>
      </c>
      <c r="AM15" s="259">
        <f>IF(ISNUMBER(((NºAsuntos!I15/NºAsuntos!G15)*11)/factor_trimestre),((NºAsuntos!I15/NºAsuntos!G15)*11)/factor_trimestre," - ")</f>
        <v>2.807350096711799</v>
      </c>
      <c r="AN15" s="243">
        <f>IF(ISNUMBER('Resol  Asuntos'!D15/NºAsuntos!G15),'Resol  Asuntos'!D15/NºAsuntos!G15," - ")</f>
        <v>0.12920696324951644</v>
      </c>
      <c r="AO15" s="244">
        <f>IF(ISNUMBER((NºAsuntos!C15+NºAsuntos!E15)/NºAsuntos!G15),(NºAsuntos!C15+NºAsuntos!E15)/NºAsuntos!G15," - ")</f>
        <v>1.9276595744680851</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393</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393</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393</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258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5</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341</v>
      </c>
      <c r="X18" s="225">
        <f>IF(ISNUMBER(Datos!Q18),Datos!Q18," - ")</f>
        <v>8</v>
      </c>
      <c r="Y18" s="333">
        <f t="shared" si="9"/>
        <v>349</v>
      </c>
      <c r="Z18" s="334" t="str">
        <f>IF(ISNUMBER(Datos!CC18),Datos!CC18," - ")</f>
        <v xml:space="preserve"> - </v>
      </c>
      <c r="AA18" s="331">
        <f>IF(ISNUMBER(Datos!L18),Datos!L18,"-")</f>
        <v>303</v>
      </c>
      <c r="AB18" s="333">
        <f>IF(ISNUMBER(Datos!R18),Datos!R18," - ")</f>
        <v>15</v>
      </c>
      <c r="AC18" s="333">
        <f t="shared" si="6"/>
        <v>318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60</v>
      </c>
      <c r="AJ18" s="230" t="str">
        <f>IF(ISNUMBER(Datos!BW18),Datos!BW18," - ")</f>
        <v xml:space="preserve"> - </v>
      </c>
      <c r="AK18" s="231" t="str">
        <f>IF(ISNUMBER(Datos!BX18),Datos!BX18," - ")</f>
        <v xml:space="preserve"> - </v>
      </c>
      <c r="AL18" s="242">
        <f>IF(ISNUMBER(NºAsuntos!G18/NºAsuntos!E18),NºAsuntos!G18/NºAsuntos!E18," - ")</f>
        <v>0.90933333333333333</v>
      </c>
      <c r="AM18" s="259">
        <f>IF(ISNUMBER(((NºAsuntos!I18/NºAsuntos!G18)*11)/factor_trimestre),((NºAsuntos!I18/NºAsuntos!G18)*11)/factor_trimestre," - ")</f>
        <v>2.6656891495601172</v>
      </c>
      <c r="AN18" s="243">
        <f>IF(ISNUMBER('Resol  Asuntos'!D18/NºAsuntos!G18),'Resol  Asuntos'!D18/NºAsuntos!G18," - ")</f>
        <v>0.17595307917888564</v>
      </c>
      <c r="AO18" s="244">
        <f>IF(ISNUMBER((NºAsuntos!C18+NºAsuntos!E18)/NºAsuntos!G18),(NºAsuntos!C18+NºAsuntos!E18)/NºAsuntos!G18," - ")</f>
        <v>1.8563049853372433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2383</v>
      </c>
      <c r="G19" s="863">
        <f>SUBTOTAL(9,G15:G18)</f>
        <v>2620</v>
      </c>
      <c r="H19" s="862">
        <f t="shared" ref="H19:O19" si="12">SUBTOTAL(9,H14:H18)</f>
        <v>0</v>
      </c>
      <c r="I19" s="864">
        <f t="shared" si="12"/>
        <v>0</v>
      </c>
      <c r="J19" s="864">
        <f t="shared" si="12"/>
        <v>0</v>
      </c>
      <c r="K19" s="864">
        <f t="shared" si="12"/>
        <v>0</v>
      </c>
      <c r="L19" s="864">
        <f t="shared" si="12"/>
        <v>94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2926</v>
      </c>
      <c r="X19" s="864">
        <f t="shared" si="13"/>
        <v>165</v>
      </c>
      <c r="Y19" s="865">
        <f t="shared" si="13"/>
        <v>2934</v>
      </c>
      <c r="Z19" s="865">
        <f t="shared" si="13"/>
        <v>0</v>
      </c>
      <c r="AA19" s="865">
        <f t="shared" si="13"/>
        <v>2722</v>
      </c>
      <c r="AB19" s="865">
        <f t="shared" si="13"/>
        <v>206</v>
      </c>
      <c r="AC19" s="865">
        <f t="shared" si="13"/>
        <v>2928</v>
      </c>
      <c r="AD19" s="865">
        <f t="shared" si="13"/>
        <v>0</v>
      </c>
      <c r="AE19" s="869">
        <f t="shared" si="13"/>
        <v>0</v>
      </c>
      <c r="AF19" s="862">
        <f t="shared" si="13"/>
        <v>0</v>
      </c>
      <c r="AG19" s="870">
        <f t="shared" si="13"/>
        <v>0</v>
      </c>
      <c r="AH19" s="867">
        <f t="shared" si="13"/>
        <v>0</v>
      </c>
      <c r="AI19" s="862">
        <f t="shared" si="13"/>
        <v>394</v>
      </c>
      <c r="AJ19" s="864">
        <f t="shared" si="13"/>
        <v>0</v>
      </c>
      <c r="AK19" s="867">
        <f t="shared" si="13"/>
        <v>0</v>
      </c>
      <c r="AL19" s="871">
        <f>IF(ISNUMBER(NºAsuntos!G19/NºAsuntos!E19),NºAsuntos!G19/NºAsuntos!E19," - ")</f>
        <v>0.97663551401869164</v>
      </c>
      <c r="AM19" s="871">
        <f>IF(ISNUMBER(((NºAsuntos!I19/NºAsuntos!G19)*11)/factor_trimestre),((NºAsuntos!I19/NºAsuntos!G19)*11)/factor_trimestre," - ")</f>
        <v>2.7908407382091593</v>
      </c>
      <c r="AN19" s="872">
        <f>IF(ISNUMBER('Resol  Asuntos'!D19/NºAsuntos!G19),'Resol  Asuntos'!D19/NºAsuntos!G19," - ")</f>
        <v>0.13465481886534519</v>
      </c>
      <c r="AO19" s="873">
        <f>IF(ISNUMBER((NºAsuntos!C19+NºAsuntos!E19)/NºAsuntos!G19),(NºAsuntos!C19+NºAsuntos!E19)/NºAsuntos!G19," - ")</f>
        <v>1.9193438140806562</v>
      </c>
      <c r="AP19" s="874" t="str">
        <f t="shared" si="2"/>
        <v xml:space="preserve"> - </v>
      </c>
      <c r="AQ19" s="874">
        <f>IF(ISNUMBER((H19-W19+K19)/(F19)),(H19-W19+K19)/(F19)," - ")</f>
        <v>-1.2278640369282416</v>
      </c>
      <c r="AR19" s="875">
        <f>IF(ISNUMBER((Datos!P19-Datos!Q19)/(Datos!R19-Datos!P19+Datos!Q19)),(Datos!P19-Datos!Q19)/(Datos!R19-Datos!P19+Datos!Q19)," - ")</f>
        <v>-0.2563176895306859</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2498</v>
      </c>
      <c r="G20" s="818">
        <f t="shared" si="15"/>
        <v>2735</v>
      </c>
      <c r="H20" s="817">
        <f t="shared" si="15"/>
        <v>0</v>
      </c>
      <c r="I20" s="819">
        <f t="shared" si="15"/>
        <v>0</v>
      </c>
      <c r="J20" s="819">
        <f t="shared" si="15"/>
        <v>0</v>
      </c>
      <c r="K20" s="878">
        <f t="shared" si="15"/>
        <v>0</v>
      </c>
      <c r="L20" s="819">
        <f t="shared" si="15"/>
        <v>972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2964</v>
      </c>
      <c r="X20" s="818">
        <f t="shared" si="16"/>
        <v>1309</v>
      </c>
      <c r="Y20" s="825">
        <f t="shared" si="16"/>
        <v>4116</v>
      </c>
      <c r="Z20" s="825">
        <f t="shared" si="16"/>
        <v>0</v>
      </c>
      <c r="AA20" s="825">
        <f t="shared" si="16"/>
        <v>2836</v>
      </c>
      <c r="AB20" s="825">
        <f t="shared" si="16"/>
        <v>11008</v>
      </c>
      <c r="AC20" s="825">
        <f t="shared" si="16"/>
        <v>3119</v>
      </c>
      <c r="AD20" s="825">
        <f t="shared" si="16"/>
        <v>0</v>
      </c>
      <c r="AE20" s="827">
        <f t="shared" si="16"/>
        <v>0</v>
      </c>
      <c r="AF20" s="828">
        <f t="shared" si="16"/>
        <v>0</v>
      </c>
      <c r="AG20" s="829">
        <f t="shared" si="16"/>
        <v>0</v>
      </c>
      <c r="AH20" s="827">
        <f t="shared" si="16"/>
        <v>0</v>
      </c>
      <c r="AI20" s="817">
        <f t="shared" si="16"/>
        <v>1449</v>
      </c>
      <c r="AJ20" s="817">
        <f t="shared" si="16"/>
        <v>0</v>
      </c>
      <c r="AK20" s="827">
        <f t="shared" si="16"/>
        <v>0</v>
      </c>
      <c r="AL20" s="881">
        <f>IF(ISNUMBER(NºAsuntos!G20/NºAsuntos!E20),NºAsuntos!G20/NºAsuntos!E20," - ")</f>
        <v>1.0605437875434713</v>
      </c>
      <c r="AM20" s="882">
        <f>IF(ISNUMBER(((NºAsuntos!I20/NºAsuntos!G20)*11)/factor_trimestre),((NºAsuntos!I20/NºAsuntos!G20)*11)/factor_trimestre," - ")</f>
        <v>3.8773289610970338</v>
      </c>
      <c r="AN20" s="882">
        <f>IF(ISNUMBER('Resol  Asuntos'!D20/NºAsuntos!G20),'Resol  Asuntos'!D20/NºAsuntos!G20," - ")</f>
        <v>0.21597853629452973</v>
      </c>
      <c r="AO20" s="883">
        <f>IF(ISNUMBER((NºAsuntos!C20+NºAsuntos!E20)/NºAsuntos!G20),(NºAsuntos!C20+NºAsuntos!E20)/NºAsuntos!G20," - ")</f>
        <v>2.2779847965419586</v>
      </c>
      <c r="AP20" s="884" t="str">
        <f t="shared" si="2"/>
        <v xml:space="preserve"> - </v>
      </c>
      <c r="AQ20" s="885">
        <f>IF(OR(ISNUMBER(FIND("01",Criterios!A8,1)),ISNUMBER(FIND("02",Criterios!A8,1)),ISNUMBER(FIND("03",Criterios!A8,1)),ISNUMBER(FIND("04",Criterios!A8,1))),(I20-W20+K20)/(F20-K20),(H20-W20+K20)/(F20-K20))</f>
        <v>-1.1865492393915131</v>
      </c>
      <c r="AR20" s="886">
        <f>IF(ISNUMBER((Datos!P20-Datos!Q20)/(Datos!R20-Datos!P20+Datos!Q20)),(Datos!P20-Datos!Q20)/(Datos!R20-Datos!P20+Datos!Q20)," - ")</f>
        <v>-2.9704715733803438E-2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261</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1094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262</v>
      </c>
      <c r="D22" s="340"/>
      <c r="E22" s="282">
        <f>IF(ISNUMBER(STDEV(E8:E19)),STDEV(E8:E19),"-")</f>
        <v>3.4576806613039839</v>
      </c>
      <c r="F22" s="251">
        <f>IF(ISNUMBER(STDEV(F8:F19)),STDEV(F8:F19),"-")</f>
        <v>1309.4304105220713</v>
      </c>
      <c r="G22" s="252">
        <f>IF(ISNUMBER(STDEV(G8:G19)),STDEV(G8:G19),"-")</f>
        <v>1279.8708919262131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1443.4882403400452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412.87658135158432</v>
      </c>
      <c r="AJ22" s="251">
        <f t="shared" si="20"/>
        <v>0</v>
      </c>
      <c r="AK22" s="253">
        <f t="shared" si="20"/>
        <v>0</v>
      </c>
      <c r="AL22" s="248">
        <f t="shared" si="20"/>
        <v>0.12863644800191062</v>
      </c>
      <c r="AM22" s="249">
        <f t="shared" si="20"/>
        <v>2.313400779569931</v>
      </c>
      <c r="AN22" s="249">
        <f t="shared" si="20"/>
        <v>0.16107916078555343</v>
      </c>
      <c r="AO22" s="250">
        <f t="shared" si="20"/>
        <v>0.77855083894169619</v>
      </c>
      <c r="AP22" s="290" t="str">
        <f t="shared" si="20"/>
        <v>-</v>
      </c>
      <c r="AQ22" s="291">
        <f t="shared" si="20"/>
        <v>0.63457831136453779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421</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259</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260</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lawXVDy52d0w2GDEsxtARK0k+7Hrh0/6jbQgk/+kc1+JN0VLUGH1+4Aw2yaSlWHMsWuPSzdKnO3QgPvseMJdgQ==" saltValue="can2562zLQHRotiR7pOWK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EXTREMADURA</v>
      </c>
      <c r="E2" s="262"/>
    </row>
    <row r="3" spans="2:20" ht="17.25" customHeight="1">
      <c r="C3" s="266"/>
      <c r="D3" s="261" t="str">
        <f>Criterios!A10 &amp;"  "&amp;Criterios!B10</f>
        <v>Provincias  BADAJOZ</v>
      </c>
      <c r="E3" s="262"/>
    </row>
    <row r="4" spans="2:20" ht="17.25" customHeight="1" thickBot="1">
      <c r="D4" s="261" t="str">
        <f>Criterios!A11 &amp;"  "&amp;Criterios!B11</f>
        <v>Resumenes por Partidos Judiciales  BADAJOZ</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274</v>
      </c>
      <c r="O5" s="161"/>
      <c r="P5" s="161"/>
      <c r="Q5" s="170" t="s">
        <v>275</v>
      </c>
      <c r="R5" s="170"/>
      <c r="S5" s="168"/>
      <c r="T5" s="168"/>
    </row>
    <row r="6" spans="2:20" ht="12.75" customHeight="1">
      <c r="B6" s="272"/>
      <c r="C6" s="1294"/>
      <c r="D6" s="1314"/>
      <c r="E6" s="1345"/>
      <c r="F6" s="1342"/>
      <c r="G6" s="1339"/>
      <c r="H6" s="1336"/>
      <c r="I6" s="1311"/>
      <c r="J6" s="1288"/>
      <c r="K6" s="1305"/>
      <c r="M6" s="1349" t="s">
        <v>290</v>
      </c>
      <c r="N6" s="1349" t="s">
        <v>271</v>
      </c>
      <c r="O6" s="1349" t="s">
        <v>272</v>
      </c>
      <c r="P6" s="1349" t="s">
        <v>273</v>
      </c>
      <c r="Q6" s="1349" t="s">
        <v>290</v>
      </c>
      <c r="R6" s="1349" t="s">
        <v>271</v>
      </c>
      <c r="S6" s="1349" t="s">
        <v>272</v>
      </c>
      <c r="T6" s="1349" t="s">
        <v>273</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243</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-6.313645621181263E-2</v>
      </c>
      <c r="I9" s="349">
        <f>IF(ISNUMBER((Tasas!C9-Datos!BE9)/Datos!BE9),(Tasas!C9-Datos!BE9)/Datos!BE9," - ")</f>
        <v>-0.26831081062291706</v>
      </c>
      <c r="J9" s="348">
        <f>IF(ISNUMBER((Tasas!D9-Datos!BF9)/Datos!BF9),(Tasas!D9-Datos!BF9)/Datos!BF9," - ")</f>
        <v>-0.34671477791303351</v>
      </c>
      <c r="K9" s="350">
        <f>IF(ISNUMBER((Tasas!E9-Datos!BG9)/Datos!BG9),(Tasas!E9-Datos!BG9)/Datos!BG9," - ")</f>
        <v>-0.171343188362963</v>
      </c>
      <c r="M9" t="e">
        <f>IF(Monitorios="SI",Datos!CE9,0)</f>
        <v>#REF!</v>
      </c>
      <c r="N9" t="e">
        <f>IF(Monitorios="SI",Datos!CF9,0)</f>
        <v>#REF!</v>
      </c>
      <c r="O9" t="e">
        <f>IF(Monitorios="SI",Datos!CG9,0)</f>
        <v>#REF!</v>
      </c>
      <c r="P9" t="e">
        <f>IF(Monitorios="SI",Datos!CH9,0)</f>
        <v>#REF!</v>
      </c>
      <c r="Q9">
        <f>IF(J_V="SI",0,Datos!AG9)</f>
        <v>65</v>
      </c>
      <c r="R9">
        <f>IF(J_V="SI",0,Datos!AH9)</f>
        <v>177</v>
      </c>
      <c r="S9">
        <f>IF(J_V="SI",0,Datos!AI9)</f>
        <v>141</v>
      </c>
      <c r="T9">
        <f>IF(J_V="SI",0,Datos!AJ9)</f>
        <v>109</v>
      </c>
    </row>
    <row r="10" spans="2:20" ht="14.25">
      <c r="B10" s="274" t="s">
        <v>243</v>
      </c>
      <c r="C10" s="7" t="str">
        <f>Datos!A10</f>
        <v>Sección De Violencia sobre la Mujer del TI</v>
      </c>
      <c r="D10" s="351">
        <f>IF(ISNUMBER((Datos!I10-Datos!S10)/Datos!S10),(Datos!I10-Datos!S10)/Datos!S10," - ")</f>
        <v>0</v>
      </c>
      <c r="E10" s="347">
        <f>IF(ISNUMBER((Datos!J10-Datos!T10)/Datos!T10),(Datos!J10-Datos!T10)/Datos!T10," - ")</f>
        <v>0.23333333333333334</v>
      </c>
      <c r="F10" s="347">
        <f>IF(ISNUMBER((Datos!K10-Datos!U10)/Datos!U10),(Datos!K10-Datos!U10)/Datos!U10," - ")</f>
        <v>-2.564102564102564E-2</v>
      </c>
      <c r="G10" s="348">
        <f>IF(ISNUMBER((Datos!L10-Datos!V10)/Datos!V10),(Datos!L10-Datos!V10)/Datos!V10," - ")</f>
        <v>7.5471698113207544E-2</v>
      </c>
      <c r="H10" s="229">
        <f>IF(ISNUMBER((Datos!M10-Datos!W10)/Datos!W10),(Datos!M10-Datos!W10)/Datos!W10," - ")</f>
        <v>0.15789473684210525</v>
      </c>
      <c r="I10" s="349">
        <f>IF(ISNUMBER((Tasas!C10-Datos!BE10)/Datos!BE10),(Tasas!C10-Datos!BE10)/Datos!BE10," - ")</f>
        <v>0.10377358490566033</v>
      </c>
      <c r="J10" s="348">
        <f>IF(ISNUMBER((Tasas!D10-Datos!BF10)/Datos!BF10),(Tasas!D10-Datos!BF10)/Datos!BF10," - ")</f>
        <v>0.18836565096952915</v>
      </c>
      <c r="K10" s="350">
        <f>IF(ISNUMBER((Tasas!E10-Datos!BG10)/Datos!BG10),(Tasas!E10-Datos!BG10)/Datos!BG10," - ")</f>
        <v>7.5862068965517213E-2</v>
      </c>
    </row>
    <row r="11" spans="2:20" ht="14.25">
      <c r="B11" s="274" t="s">
        <v>243</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-0.26143790849673204</v>
      </c>
      <c r="I11" s="349">
        <f>IF(ISNUMBER((Tasas!C11-Datos!BE11)/Datos!BE11),(Tasas!C11-Datos!BE11)/Datos!BE11," - ")</f>
        <v>0.53760521538207628</v>
      </c>
      <c r="J11" s="348">
        <f>IF(ISNUMBER((Tasas!D11-Datos!BF11)/Datos!BF11),(Tasas!D11-Datos!BF11)/Datos!BF11," - ")</f>
        <v>-0.32057518679950187</v>
      </c>
      <c r="K11" s="350">
        <f>IF(ISNUMBER((Tasas!E11-Datos!BG11)/Datos!BG11),(Tasas!E11-Datos!BG11)/Datos!BG11," - ")</f>
        <v>0.25944968668026813</v>
      </c>
      <c r="M11" t="e">
        <f>IF(Monitorios="SI",Datos!CE11,0)</f>
        <v>#REF!</v>
      </c>
      <c r="N11" t="e">
        <f>IF(Monitorios="SI",Datos!CF11,0)</f>
        <v>#REF!</v>
      </c>
      <c r="O11" t="e">
        <f>IF(Monitorios="SI",Datos!CG11,0)</f>
        <v>#REF!</v>
      </c>
      <c r="P11" t="e">
        <f>IF(Monitorios="SI",Datos!CH11,0)</f>
        <v>#REF!</v>
      </c>
      <c r="Q11">
        <f>IF(J_V="SI",0,Datos!AG11)</f>
        <v>12</v>
      </c>
      <c r="R11">
        <f>IF(J_V="SI",0,Datos!AH11)</f>
        <v>57</v>
      </c>
      <c r="S11">
        <f>IF(J_V="SI",0,Datos!AI11)</f>
        <v>64</v>
      </c>
      <c r="T11">
        <f>IF(J_V="SI",0,Datos!AJ11)</f>
        <v>49</v>
      </c>
    </row>
    <row r="12" spans="2:20" ht="15" thickBot="1">
      <c r="B12" s="274" t="s">
        <v>243</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-8.578856152512998E-2</v>
      </c>
      <c r="I13" s="356">
        <f>IF(ISNUMBER((Tasas!C13-Datos!BE13)/Datos!BE13),(Tasas!C13-Datos!BE13)/Datos!BE13," - ")</f>
        <v>-0.22116739817105632</v>
      </c>
      <c r="J13" s="354">
        <f>IF(ISNUMBER((Tasas!D13-Datos!BF13)/Datos!BF13),(Tasas!D13-Datos!BF13)/Datos!BF13," - ")</f>
        <v>-0.33845272171009966</v>
      </c>
      <c r="K13" s="357">
        <f>IF(ISNUMBER((Tasas!E13-Datos!BG13)/Datos!BG13),(Tasas!E13-Datos!BG13)/Datos!BG13," - ")</f>
        <v>-0.14058043965077657</v>
      </c>
      <c r="M13" t="e">
        <f>IF(Monitorios="SI",Datos!CE13,0)</f>
        <v>#REF!</v>
      </c>
      <c r="N13" t="e">
        <f>IF(Monitorios="SI",Datos!CF13,0)</f>
        <v>#REF!</v>
      </c>
      <c r="O13" t="e">
        <f>IF(Monitorios="SI",Datos!CG13,0)</f>
        <v>#REF!</v>
      </c>
      <c r="P13" t="e">
        <f>IF(Monitorios="SI",Datos!CH13,0)</f>
        <v>#REF!</v>
      </c>
      <c r="Q13">
        <f>IF(J_V="SI",0,Datos!AG13)</f>
        <v>77</v>
      </c>
      <c r="R13">
        <f>IF(J_V="SI",0,Datos!AH13)</f>
        <v>234</v>
      </c>
      <c r="S13">
        <f>IF(J_V="SI",0,Datos!AI13)</f>
        <v>205</v>
      </c>
      <c r="T13">
        <f>IF(J_V="SI",0,Datos!AJ13)</f>
        <v>158</v>
      </c>
    </row>
    <row r="14" spans="2:20" ht="15" thickTop="1">
      <c r="B14" s="178"/>
      <c r="C14" s="70" t="str">
        <f>Datos!A14</f>
        <v xml:space="preserve">Jurisdicción Penal ( 2 ):                      </v>
      </c>
      <c r="D14" s="245"/>
      <c r="E14" s="246"/>
      <c r="F14" s="246"/>
      <c r="G14" s="246"/>
      <c r="H14" s="269"/>
      <c r="I14" s="246"/>
      <c r="J14" s="246"/>
      <c r="K14" s="287"/>
    </row>
    <row r="15" spans="2:20" ht="14.25">
      <c r="B15" s="274" t="s">
        <v>393</v>
      </c>
      <c r="C15" s="7" t="str">
        <f>Datos!A15</f>
        <v xml:space="preserve">Seccion Instruccion Del T.I.                   </v>
      </c>
      <c r="D15" s="351">
        <f>IF(ISNUMBER(
   IF(D_I="SI",(Datos!I15-Datos!S15)/Datos!S15,(Datos!I15+Datos!AC15-(Datos!S15+Datos!AK15))/(Datos!S15+Datos!AK15))
     ),IF(D_I="SI",(Datos!I15-Datos!S15)/Datos!S15,(Datos!I15+Datos!AC15-(Datos!S15+Datos!AK15))/(Datos!S15+Datos!AK15))," - ")</f>
        <v>8.6476540938362462E-2</v>
      </c>
      <c r="E15" s="347">
        <f>IF(ISNUMBER(
   IF(D_I="SI",(Datos!J15-Datos!T15)/Datos!T15,(Datos!J15+Datos!AD15-(Datos!T15+Datos!AL15))/(Datos!T15+Datos!AL15))
     ),IF(D_I="SI",(Datos!J15-Datos!T15)/Datos!T15,(Datos!J15+Datos!AD15-(Datos!T15+Datos!AL15))/(Datos!T15+Datos!AL15))," - ")</f>
        <v>3.0267295597484277E-2</v>
      </c>
      <c r="F15" s="347">
        <f>IF(ISNUMBER(
   IF(D_I="SI",(Datos!K15-Datos!U15)/Datos!U15,(Datos!K15+Datos!AE15-(Datos!U15+Datos!AM15))/(Datos!U15+Datos!AM15))
     ),IF(D_I="SI",(Datos!K15-Datos!U15)/Datos!U15,(Datos!K15+Datos!AE15-(Datos!U15+Datos!AM15))/(Datos!U15+Datos!AM15))," - ")</f>
        <v>9.3713393205778987E-3</v>
      </c>
      <c r="G15" s="348">
        <f>IF(ISNUMBER(
   IF(D_I="SI",(Datos!L15-Datos!V15)/Datos!V15,(Datos!L15+Datos!AF15-(Datos!V15+Datos!AN15))/(Datos!V15+Datos!AN15))
     ),IF(D_I="SI",(Datos!L15-Datos!V15)/Datos!V15,(Datos!L15+Datos!AF15-(Datos!V15+Datos!AN15))/(Datos!V15+Datos!AN15))," - ")</f>
        <v>0.10709382151029748</v>
      </c>
      <c r="H15" s="229">
        <f>IF(ISNUMBER((Datos!M15-Datos!W15)/Datos!W15),(Datos!M15-Datos!W15)/Datos!W15," - ")</f>
        <v>-6.4425770308123242E-2</v>
      </c>
      <c r="I15" s="349">
        <f>IF(ISNUMBER((Tasas!C15-Datos!BE15)/Datos!BE15),(Tasas!C15-Datos!BE15)/Datos!BE15," - ")</f>
        <v>9.6815194153915554E-2</v>
      </c>
      <c r="J15" s="348">
        <f>IF(ISNUMBER((Tasas!D15-Datos!BF15)/Datos!BF15),(Tasas!D15-Datos!BF15)/Datos!BF15," - ")</f>
        <v>-7.3111952711451988E-2</v>
      </c>
      <c r="K15" s="350">
        <f>IF(ISNUMBER((Tasas!E15-Datos!BG15)/Datos!BG15),(Tasas!E15-Datos!BG15)/Datos!BG15," - ")</f>
        <v>4.6362053881467954E-2</v>
      </c>
    </row>
    <row r="16" spans="2:20" ht="14.25">
      <c r="B16" s="274" t="s">
        <v>393</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393</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393</v>
      </c>
      <c r="C18" s="7" t="str">
        <f>Datos!A18</f>
        <v>Sección De Violencia sobre la Mujer del TI</v>
      </c>
      <c r="D18" s="351">
        <f>IF(ISNUMBER(
   IF(D_I="SI",(Datos!I18-Datos!S18)/Datos!S18,(Datos!I18+Datos!AC18-(Datos!S18+Datos!AK18))/(Datos!S18+Datos!AK18))
     ),IF(D_I="SI",(Datos!I18-Datos!S18)/Datos!S18,(Datos!I18+Datos!AC18-(Datos!S18+Datos!AK18))/(Datos!S18+Datos!AK18))," - ")</f>
        <v>0.60248447204968947</v>
      </c>
      <c r="E18" s="347">
        <f>IF(ISNUMBER(
   IF(D_I="SI",(Datos!J18-Datos!T18)/Datos!T18,(Datos!J18+Datos!AD18-(Datos!T18+Datos!AL18))/(Datos!T18+Datos!AL18))
     ),IF(D_I="SI",(Datos!J18-Datos!T18)/Datos!T18,(Datos!J18+Datos!AD18-(Datos!T18+Datos!AL18))/(Datos!T18+Datos!AL18))," - ")</f>
        <v>0.76886792452830188</v>
      </c>
      <c r="F18" s="347">
        <f>IF(ISNUMBER(
   IF(D_I="SI",(Datos!K18-Datos!U18)/Datos!U18,(Datos!K18+Datos!AE18-(Datos!U18+Datos!AM18))/(Datos!U18+Datos!AM18))
     ),IF(D_I="SI",(Datos!K18-Datos!U18)/Datos!U18,(Datos!K18+Datos!AE18-(Datos!U18+Datos!AM18))/(Datos!U18+Datos!AM18))," - ")</f>
        <v>0.536036036036036</v>
      </c>
      <c r="G18" s="348">
        <f>IF(ISNUMBER(
   IF(D_I="SI",(Datos!L18-Datos!V18)/Datos!V18,(Datos!L18+Datos!AF18-(Datos!V18+Datos!AN18))/(Datos!V18+Datos!AN18))
     ),IF(D_I="SI",(Datos!L18-Datos!V18)/Datos!V18,(Datos!L18+Datos!AF18-(Datos!V18+Datos!AN18))/(Datos!V18+Datos!AN18))," - ")</f>
        <v>1.0066225165562914</v>
      </c>
      <c r="H18" s="229">
        <f>IF(ISNUMBER((Datos!M18-Datos!W18)/Datos!W18),(Datos!M18-Datos!W18)/Datos!W18," - ")</f>
        <v>0.17647058823529413</v>
      </c>
      <c r="I18" s="349">
        <f>IF(ISNUMBER((Tasas!C18-Datos!BE18)/Datos!BE18),(Tasas!C18-Datos!BE18)/Datos!BE18," - ")</f>
        <v>0.30636421898972627</v>
      </c>
      <c r="J18" s="348">
        <f>IF(ISNUMBER((Tasas!D18-Datos!BF18)/Datos!BF18),(Tasas!D18-Datos!BF18)/Datos!BF18," - ")</f>
        <v>-0.234086596515439</v>
      </c>
      <c r="K18" s="350">
        <f>IF(ISNUMBER((Tasas!E18-Datos!BG18)/Datos!BG18),(Tasas!E18-Datos!BG18)/Datos!BG18," - ")</f>
        <v>0.10482495105862742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0.12205567451820129</v>
      </c>
      <c r="E19" s="353">
        <f>IF(ISNUMBER(
   IF(D_I="SI",(Datos!J19-Datos!T19)/Datos!T19,(Datos!J19+Datos!AD19-(Datos!T19+Datos!AL19))/(Datos!T19+Datos!AL19))
     ),IF(D_I="SI",(Datos!J19-Datos!T19)/Datos!T19,(Datos!J19+Datos!AD19-(Datos!T19+Datos!AL19))/(Datos!T19+Datos!AL19))," - ")</f>
        <v>8.7082728592162553E-2</v>
      </c>
      <c r="F19" s="353">
        <f>IF(ISNUMBER(
   IF(D_I="SI",(Datos!K19-Datos!U19)/Datos!U19,(Datos!K19+Datos!AE19-(Datos!U19+Datos!AM19))/(Datos!U19+Datos!AM19))
     ),IF(D_I="SI",(Datos!K19-Datos!U19)/Datos!U19,(Datos!K19+Datos!AE19-(Datos!U19+Datos!AM19))/(Datos!U19+Datos!AM19))," - ")</f>
        <v>5.1383399209486168E-2</v>
      </c>
      <c r="G19" s="354">
        <f>IF(ISNUMBER(
   IF(D_I="SI",(Datos!L19-Datos!V19)/Datos!V19,(Datos!L19+Datos!AF19-(Datos!V19+Datos!AN19))/(Datos!V19+Datos!AN19))
     ),IF(D_I="SI",(Datos!L19-Datos!V19)/Datos!V19,(Datos!L19+Datos!AF19-(Datos!V19+Datos!AN19))/(Datos!V19+Datos!AN19))," - ")</f>
        <v>0.16523972602739725</v>
      </c>
      <c r="H19" s="355">
        <f>IF(ISNUMBER((Datos!M19-Datos!W19)/Datos!W19),(Datos!M19-Datos!W19)/Datos!W19," - ")</f>
        <v>-3.4313725490196081E-2</v>
      </c>
      <c r="I19" s="356">
        <f>IF(ISNUMBER((Tasas!C19-Datos!BE19)/Datos!BE19),(Tasas!C19-Datos!BE19)/Datos!BE19," - ")</f>
        <v>0.10829191986816349</v>
      </c>
      <c r="J19" s="354">
        <f>IF(ISNUMBER((Tasas!D19-Datos!BF19)/Datos!BF19),(Tasas!D19-Datos!BF19)/Datos!BF19," - ")</f>
        <v>-8.1508919357216519E-2</v>
      </c>
      <c r="K19" s="357">
        <f>IF(ISNUMBER((Tasas!E19-Datos!BG19)/Datos!BG19),(Tasas!E19-Datos!BG19)/Datos!BG19," - ")</f>
        <v>4.9211124452262063E-2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-0.18364928909952608</v>
      </c>
      <c r="E20" s="362">
        <f>IF(ISNUMBER(
   IF(J_V="SI",(Datos!J20-Datos!T20)/Datos!T20,(Datos!J20+Datos!Z20-(Datos!T20+Datos!AH20))/(Datos!T20+Datos!AH20))
     ),IF(J_V="SI",(Datos!J20-Datos!T20)/Datos!T20,(Datos!J20+Datos!Z20-(Datos!T20+Datos!AH20))/(Datos!T20+Datos!AH20))," - ")</f>
        <v>0.12502223012626712</v>
      </c>
      <c r="F20" s="362">
        <f>IF(ISNUMBER(
   IF(J_V="SI",(Datos!K20-Datos!U20)/Datos!U20,(Datos!K20+Datos!AA20-(Datos!U20+Datos!AI20))/(Datos!U20+Datos!AI20))
     ),IF(J_V="SI",(Datos!K20-Datos!U20)/Datos!U20,(Datos!K20+Datos!AA20-(Datos!U20+Datos!AI20))/(Datos!U20+Datos!AI20))," - ")</f>
        <v>8.5688514732411309E-3</v>
      </c>
      <c r="G20" s="363">
        <f>IF(ISNUMBER(
   IF(J_V="SI",(Datos!L20-Datos!V20)/Datos!V20,(Datos!L20+Datos!AB20-(Datos!V20+Datos!AJ20))/(Datos!V20+Datos!AJ20))
     ),IF(J_V="SI",(Datos!L20-Datos!V20)/Datos!V20,(Datos!L20+Datos!AB20-(Datos!V20+Datos!AJ20))/(Datos!V20+Datos!AJ20))," - ")</f>
        <v>-0.1455459203783997</v>
      </c>
      <c r="H20" s="364">
        <f>IF(ISNUMBER((Datos!M20-Datos!W20)/Datos!W20),(Datos!M20-Datos!W20)/Datos!W20," - ")</f>
        <v>-7.2343149807938545E-2</v>
      </c>
      <c r="I20" s="361">
        <f>IF(ISNUMBER((Tasas!C20-Datos!BE20)/Datos!BE20),(Tasas!C20-Datos!BE20)/Datos!BE20," - ")</f>
        <v>-0.15280540503161646</v>
      </c>
      <c r="J20" s="362">
        <f>IF(ISNUMBER((Tasas!D20-Datos!BF20)/Datos!BF20),(Tasas!D20-Datos!BF20)/Datos!BF20," - ")</f>
        <v>-0.29539518223089178</v>
      </c>
      <c r="K20" s="363">
        <f>IF(ISNUMBER((Tasas!E20-Datos!BG20)/Datos!BG20),(Tasas!E20-Datos!BG20)/Datos!BG20," - ")</f>
        <v>-8.688431053949322E-2</v>
      </c>
    </row>
    <row r="21" spans="2:20" ht="15.75" customHeight="1" thickTop="1" thickBot="1">
      <c r="B21" s="166"/>
      <c r="C21" s="809" t="s">
        <v>261</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262</v>
      </c>
      <c r="D22" s="276">
        <f t="shared" ref="D22:K22" si="1">IF(ISNUMBER( STDEV(D8:D19)),STDEV(D8:D19)," - ")</f>
        <v>0.27137078080389482</v>
      </c>
      <c r="E22" s="277">
        <f t="shared" si="1"/>
        <v>0.33702278475353231</v>
      </c>
      <c r="F22" s="277">
        <f t="shared" si="1"/>
        <v>0.26404997059637475</v>
      </c>
      <c r="G22" s="278">
        <f t="shared" si="1"/>
        <v>0.44689278391955289</v>
      </c>
      <c r="H22" s="284">
        <f t="shared" si="1"/>
        <v>0.15096055375511813</v>
      </c>
      <c r="I22" s="276">
        <f t="shared" si="1"/>
        <v>0.28070962034594288</v>
      </c>
      <c r="J22" s="277">
        <f t="shared" si="1"/>
        <v>0.19663475320997462</v>
      </c>
      <c r="K22" s="278">
        <f t="shared" si="1"/>
        <v>0.14753285500484048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259</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260</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SkSfYYgM6WT4MuSg0XyjnpzEbeNqIOojDLqJ2whbtgEOYwGyC8TTbgQbNyVflp6T0cRR/gzQiJt+dgWe0tvNg==" saltValue="Q93O+p0xyB7L7wCyDPjiF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352</v>
      </c>
      <c r="E3" s="493"/>
    </row>
    <row r="4" spans="1:78" s="470" customFormat="1" ht="15.75" thickBot="1">
      <c r="A4" s="1080" t="s">
        <v>357</v>
      </c>
      <c r="B4" s="1091" t="str">
        <f>Criterios!B9</f>
        <v>EXTREMADURA</v>
      </c>
      <c r="C4" s="1081"/>
      <c r="D4" s="1081"/>
      <c r="E4" s="1082"/>
      <c r="F4" s="1081"/>
      <c r="G4" s="542"/>
      <c r="H4" s="1376" t="s">
        <v>358</v>
      </c>
      <c r="I4" s="1377"/>
      <c r="J4" s="1377"/>
      <c r="K4" s="1377"/>
      <c r="L4" s="1377"/>
      <c r="M4" s="1083"/>
      <c r="N4" s="1376" t="s">
        <v>359</v>
      </c>
      <c r="O4" s="1377"/>
      <c r="P4" s="1377"/>
      <c r="Q4" s="1377"/>
      <c r="R4" s="1377"/>
      <c r="S4" s="1377"/>
      <c r="T4" s="1377"/>
      <c r="U4" s="1377"/>
      <c r="V4" s="1377"/>
      <c r="W4" s="1377"/>
      <c r="X4" s="1377"/>
      <c r="Y4" s="1377"/>
      <c r="Z4" s="1377"/>
      <c r="AA4" s="1377"/>
      <c r="AB4" s="1377"/>
      <c r="AC4" s="1377"/>
      <c r="AD4" s="1378"/>
    </row>
    <row r="5" spans="1:78" s="470" customFormat="1" ht="15.75" customHeight="1">
      <c r="A5" s="1360" t="s">
        <v>348</v>
      </c>
      <c r="B5" s="1362" t="str">
        <f>"Año:  " &amp;Criterios!B5 &amp; "      Trimestre   " &amp;Criterios!D5 &amp; " al " &amp;Criterios!D6</f>
        <v>Año:  2026      Trimestre   2 al 2</v>
      </c>
      <c r="C5" s="1350" t="s">
        <v>258</v>
      </c>
      <c r="D5" s="1352" t="s">
        <v>130</v>
      </c>
      <c r="E5" s="1352" t="s">
        <v>92</v>
      </c>
      <c r="F5" s="1356" t="s">
        <v>9</v>
      </c>
      <c r="G5" s="1355"/>
      <c r="H5" s="1379" t="s">
        <v>353</v>
      </c>
      <c r="I5" s="1358" t="s">
        <v>355</v>
      </c>
      <c r="J5" s="1379" t="s">
        <v>354</v>
      </c>
      <c r="K5" s="1354" t="s">
        <v>299</v>
      </c>
      <c r="L5" s="1354" t="s">
        <v>356</v>
      </c>
      <c r="M5" s="1354" t="s">
        <v>350</v>
      </c>
      <c r="N5" s="1366"/>
      <c r="O5" s="1367"/>
      <c r="Q5" s="1370" t="s">
        <v>449</v>
      </c>
      <c r="R5" s="1371"/>
      <c r="S5" s="1372"/>
      <c r="T5" s="1370"/>
      <c r="U5" s="1371"/>
      <c r="V5" s="1372"/>
      <c r="W5" s="1370" t="s">
        <v>269</v>
      </c>
      <c r="X5" s="1371"/>
      <c r="Y5" s="1371"/>
      <c r="Z5" s="1372"/>
      <c r="AA5" s="1370" t="s">
        <v>444</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226</v>
      </c>
      <c r="O7" s="1086" t="s">
        <v>390</v>
      </c>
      <c r="P7" s="1087" t="s">
        <v>391</v>
      </c>
      <c r="Q7" s="1088" t="s">
        <v>392</v>
      </c>
      <c r="R7" s="1087" t="s">
        <v>383</v>
      </c>
      <c r="S7" s="1088" t="s">
        <v>776</v>
      </c>
      <c r="T7" s="1140" t="s">
        <v>777</v>
      </c>
      <c r="U7" s="1140" t="s">
        <v>778</v>
      </c>
      <c r="V7" s="1140" t="s">
        <v>779</v>
      </c>
      <c r="W7" s="1086" t="s">
        <v>445</v>
      </c>
      <c r="X7" s="1154" t="s">
        <v>793</v>
      </c>
      <c r="Y7" s="1154" t="s">
        <v>794</v>
      </c>
      <c r="Z7" s="1155" t="s">
        <v>795</v>
      </c>
      <c r="AA7" s="1089" t="s">
        <v>445</v>
      </c>
      <c r="AB7" s="1154" t="s">
        <v>446</v>
      </c>
      <c r="AC7" s="1154" t="s">
        <v>796</v>
      </c>
      <c r="AD7" s="1155" t="s">
        <v>797</v>
      </c>
      <c r="AE7" s="1090" t="s">
        <v>775</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7</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16.664060237474661</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115</v>
      </c>
      <c r="D10" s="224">
        <f>IF(ISNUMBER(Datos!I10),Datos!I10," - ")</f>
        <v>115</v>
      </c>
      <c r="E10" s="225">
        <f>IF(ISNUMBER(Datos!J10),Datos!J10," - ")</f>
        <v>37</v>
      </c>
      <c r="F10" s="225">
        <f>IF(ISNUMBER(Datos!K10),Datos!K10," - ")</f>
        <v>38</v>
      </c>
      <c r="G10" s="1029" t="str">
        <f>IF(Datos!E10&lt;&gt;"",Datos!E10,Datos!D10)</f>
        <v>37</v>
      </c>
      <c r="H10" s="226">
        <f>IF(ISNUMBER(Datos!L10),Datos!L10," - ")</f>
        <v>114</v>
      </c>
      <c r="I10" s="1039" t="str">
        <f>IF(ISNUMBER(Datos!AS10/Datos!BM10),Datos!AS10/Datos!BM10," - ")</f>
        <v xml:space="preserve"> - </v>
      </c>
      <c r="J10" s="1040">
        <f>IF(ISNUMBER(Datos!BY10/Datos!CN10),Datos!BY10/Datos!CN10," - ")</f>
        <v>0</v>
      </c>
      <c r="K10" s="229">
        <f t="shared" ref="K10:K12" si="1">IF(ISNUMBER((E10-F10)/C10),(E10-F10)/C10," - ")</f>
        <v>-8.6956521739130436E-3</v>
      </c>
      <c r="L10" s="1020">
        <f>IF(ISNUMBER(NºAsuntos!I10/NºAsuntos!G10),(NºAsuntos!I10/NºAsuntos!G10)*11," - ")</f>
        <v>33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1</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22.715753424657535</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115</v>
      </c>
      <c r="D13" s="1044">
        <f>SUBTOTAL(9,D9:D12)</f>
        <v>115</v>
      </c>
      <c r="E13" s="1045">
        <f>SUBTOTAL(9,E9:E12)</f>
        <v>37</v>
      </c>
      <c r="F13" s="1046">
        <f>SUBTOTAL(9,F9:F12)</f>
        <v>38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2383</v>
      </c>
      <c r="D15" s="224">
        <f>IF(ISNUMBER(IF(D_I="SI",Datos!I15,Datos!I15+Datos!AC15)),IF(D_I="SI",Datos!I15,Datos!I15+Datos!AC15)," - ")</f>
        <v>2362</v>
      </c>
      <c r="E15" s="225">
        <f>IF(ISNUMBER(IF(D_I="SI",Datos!J15,Datos!J15+Datos!AD15)),IF(D_I="SI",Datos!J15,Datos!J15+Datos!AD15)," - ")</f>
        <v>2621</v>
      </c>
      <c r="F15" s="225">
        <f>IF(ISNUMBER(IF(D_I="SI",Datos!K15,Datos!K15+Datos!AE15)),IF(D_I="SI",Datos!K15,Datos!K15+Datos!AE15)," - ")</f>
        <v>2585</v>
      </c>
      <c r="G15" s="1029" t="str">
        <f>IF(Datos!E15&lt;&gt;"",Datos!E15,Datos!D15)</f>
        <v>03</v>
      </c>
      <c r="H15" s="226">
        <f>IF(ISNUMBER(IF(D_I="SI",Datos!L15,Datos!L15+Datos!AF15)),IF(D_I="SI",Datos!L15,Datos!L15+Datos!AF15)," - ")</f>
        <v>2419</v>
      </c>
      <c r="I15" s="1039" t="str">
        <f>IF(ISNUMBER(Datos!AS15/Datos!BM15),Datos!AS15/Datos!BM15," - ")</f>
        <v xml:space="preserve"> - </v>
      </c>
      <c r="J15" s="1040">
        <f>IF(ISNUMBER(Datos!BY15/Datos!CN15),Datos!BY15/Datos!CN15," - ")</f>
        <v>0</v>
      </c>
      <c r="K15" s="229">
        <f t="shared" ref="K15:K18" si="3">IF(ISNUMBER((E15-F15)/C15),(E15-F15)/C15," - ")</f>
        <v>1.5107007973143098E-2</v>
      </c>
      <c r="L15" s="1020">
        <f>IF(ISNUMBER(NºAsuntos!I15/NºAsuntos!G15),(NºAsuntos!I15/NºAsuntos!G15)*11," - ")</f>
        <v>10.293617021276596</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269</v>
      </c>
      <c r="D18" s="224">
        <f>IF(ISNUMBER(IF(D_I="SI",Datos!I18,Datos!I18+Datos!AC18)),IF(D_I="SI",Datos!I18,Datos!I18+Datos!AC18)," - ")</f>
        <v>258</v>
      </c>
      <c r="E18" s="225">
        <f>IF(ISNUMBER(IF(D_I="SI",Datos!J18,Datos!J18+Datos!AD18)),IF(D_I="SI",Datos!J18,Datos!J18+Datos!AD18)," - ")</f>
        <v>375</v>
      </c>
      <c r="F18" s="225">
        <f>IF(ISNUMBER(IF(D_I="SI",Datos!K18,Datos!K18+Datos!AE18)),IF(D_I="SI",Datos!K18,Datos!K18+Datos!AE18)," - ")</f>
        <v>341</v>
      </c>
      <c r="G18" s="1029" t="str">
        <f>IF(Datos!E18&lt;&gt;"",Datos!E18,Datos!D18)</f>
        <v>37</v>
      </c>
      <c r="H18" s="226">
        <f>IF(ISNUMBER(IF(D_I="SI",Datos!L18,Datos!L18+Datos!AF18)),IF(D_I="SI",Datos!L18,Datos!L18+Datos!AF18)," - ")</f>
        <v>303</v>
      </c>
      <c r="I18" s="1039" t="str">
        <f>IF(ISNUMBER(Datos!AS18/Datos!BM18),Datos!AS18/Datos!BM18," - ")</f>
        <v xml:space="preserve"> - </v>
      </c>
      <c r="J18" s="1040" t="str">
        <f>IF(ISNUMBER((Datos!BY18+Datos!BZ18)/Datos!CN18),(Datos!BY18+Datos!BZ18)/Datos!CN18," - ")</f>
        <v xml:space="preserve"> - </v>
      </c>
      <c r="K18" s="229">
        <f t="shared" si="3"/>
        <v>0.12639405204460966</v>
      </c>
      <c r="L18" s="1020">
        <f>IF(ISNUMBER(NºAsuntos!I18/NºAsuntos!G18),(NºAsuntos!I18/NºAsuntos!G18)*11," - ")</f>
        <v>9.7741935483870961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2652</v>
      </c>
      <c r="D19" s="1044">
        <f>SUBTOTAL(9,D15:D18)</f>
        <v>2620</v>
      </c>
      <c r="E19" s="1045">
        <f>SUBTOTAL(9,E15:E18)</f>
        <v>2996</v>
      </c>
      <c r="F19" s="1045">
        <f>SUBTOTAL(9,F15:F18)</f>
        <v>2926</v>
      </c>
      <c r="G19" s="1047" t="str">
        <f ca="1">INDIRECT(CONCATENATE("G",ROW()-1))</f>
        <v>37</v>
      </c>
      <c r="H19" s="1048">
        <f ca="1">SUMIF(G$14:G18,G19,H$14:H18)</f>
        <v>303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2767</v>
      </c>
      <c r="D20" s="1066">
        <f>SUBTOTAL(9,D9:D19)</f>
        <v>2735</v>
      </c>
      <c r="E20" s="1067">
        <f>SUBTOTAL(9,E9:E19)</f>
        <v>3033</v>
      </c>
      <c r="F20" s="1067">
        <f>SUBTOTAL(9,F9:F19)</f>
        <v>2964</v>
      </c>
      <c r="G20" s="1068"/>
      <c r="H20" s="1069">
        <f ca="1">SUMIF(B9:B19,"TOTAL",H9:H19)</f>
        <v>303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622</v>
      </c>
      <c r="O26" s="1382"/>
      <c r="P26" s="1382"/>
      <c r="Q26" s="1382"/>
      <c r="R26" s="1382"/>
      <c r="S26" s="1382"/>
      <c r="T26" s="1382"/>
      <c r="U26" s="1382"/>
      <c r="V26" s="1382"/>
      <c r="W26" s="1382"/>
      <c r="Y26" s="1382" t="s">
        <v>623</v>
      </c>
      <c r="Z26" s="1382"/>
      <c r="AA26" s="1382"/>
      <c r="AB26" s="1382"/>
      <c r="AC26" s="1382"/>
      <c r="AD26" s="1382"/>
    </row>
    <row r="28" spans="1:78">
      <c r="N28" s="1026" t="s">
        <v>624</v>
      </c>
      <c r="O28" s="1383" t="s">
        <v>625</v>
      </c>
      <c r="P28" s="1383"/>
      <c r="Q28" s="1383"/>
      <c r="R28" s="1383"/>
      <c r="S28" s="1383"/>
      <c r="T28" s="1383"/>
      <c r="U28" s="1383"/>
      <c r="V28" s="1383"/>
      <c r="W28" s="1383"/>
      <c r="Y28" s="1026" t="s">
        <v>624</v>
      </c>
      <c r="Z28" s="1384" t="s">
        <v>626</v>
      </c>
      <c r="AA28" s="1384"/>
      <c r="AB28" s="1384"/>
      <c r="AC28" s="1384"/>
      <c r="AD28" s="1384"/>
    </row>
    <row r="29" spans="1:78">
      <c r="N29" s="1026" t="s">
        <v>627</v>
      </c>
      <c r="O29" s="1383" t="s">
        <v>628</v>
      </c>
      <c r="P29" s="1383"/>
      <c r="Q29" s="1383"/>
      <c r="R29" s="1383"/>
      <c r="S29" s="1383"/>
      <c r="T29" s="1383"/>
      <c r="U29" s="1383"/>
      <c r="V29" s="1383"/>
      <c r="W29" s="1383"/>
      <c r="Y29" s="1026" t="s">
        <v>627</v>
      </c>
      <c r="Z29" s="1384" t="s">
        <v>629</v>
      </c>
      <c r="AA29" s="1384"/>
      <c r="AB29" s="1384"/>
      <c r="AC29" s="1384"/>
      <c r="AD29" s="1384"/>
    </row>
    <row r="30" spans="1:78">
      <c r="N30" s="1026" t="s">
        <v>630</v>
      </c>
      <c r="O30" s="1383" t="s">
        <v>631</v>
      </c>
      <c r="P30" s="1383"/>
      <c r="Q30" s="1383"/>
      <c r="R30" s="1383"/>
      <c r="S30" s="1383"/>
      <c r="T30" s="1383"/>
      <c r="U30" s="1383"/>
      <c r="V30" s="1383"/>
      <c r="W30" s="1383"/>
      <c r="Y30" s="1026" t="s">
        <v>632</v>
      </c>
      <c r="Z30" s="1384" t="s">
        <v>827</v>
      </c>
      <c r="AA30" s="1384"/>
      <c r="AB30" s="1384"/>
      <c r="AC30" s="1384"/>
      <c r="AD30" s="1384"/>
    </row>
    <row r="31" spans="1:78">
      <c r="N31" s="1026" t="s">
        <v>633</v>
      </c>
      <c r="O31" s="1383" t="s">
        <v>634</v>
      </c>
      <c r="P31" s="1383"/>
      <c r="Q31" s="1383"/>
      <c r="R31" s="1383"/>
      <c r="S31" s="1383"/>
      <c r="T31" s="1383"/>
      <c r="U31" s="1383"/>
      <c r="V31" s="1383"/>
      <c r="W31" s="1383"/>
      <c r="Y31" s="1026" t="s">
        <v>635</v>
      </c>
      <c r="Z31" s="1384" t="s">
        <v>828</v>
      </c>
      <c r="AA31" s="1384"/>
      <c r="AB31" s="1384"/>
      <c r="AC31" s="1384"/>
      <c r="AD31" s="1384"/>
    </row>
    <row r="32" spans="1:78">
      <c r="N32" s="1026" t="s">
        <v>716</v>
      </c>
      <c r="O32" s="1383" t="s">
        <v>717</v>
      </c>
      <c r="P32" s="1383"/>
      <c r="Q32" s="1383"/>
      <c r="R32" s="1383"/>
      <c r="S32" s="1383"/>
      <c r="T32" s="1383"/>
      <c r="U32" s="1383"/>
      <c r="V32" s="1383"/>
      <c r="W32" s="1383"/>
      <c r="Y32" s="1026" t="s">
        <v>630</v>
      </c>
      <c r="Z32" s="1384" t="s">
        <v>631</v>
      </c>
      <c r="AA32" s="1384"/>
      <c r="AB32" s="1384"/>
      <c r="AC32" s="1384"/>
      <c r="AD32" s="1384"/>
    </row>
    <row r="33" spans="14:30">
      <c r="N33" s="1026" t="s">
        <v>636</v>
      </c>
      <c r="O33" s="1383" t="s">
        <v>637</v>
      </c>
      <c r="P33" s="1383"/>
      <c r="Q33" s="1383"/>
      <c r="R33" s="1383"/>
      <c r="S33" s="1383"/>
      <c r="T33" s="1383"/>
      <c r="U33" s="1383"/>
      <c r="V33" s="1383"/>
      <c r="W33" s="1383"/>
      <c r="Y33" s="1026" t="s">
        <v>633</v>
      </c>
      <c r="Z33" s="1384" t="s">
        <v>634</v>
      </c>
      <c r="AA33" s="1384"/>
      <c r="AB33" s="1384"/>
      <c r="AC33" s="1384"/>
      <c r="AD33" s="1384"/>
    </row>
    <row r="34" spans="14:30">
      <c r="N34" s="1026" t="s">
        <v>638</v>
      </c>
      <c r="O34" s="1383" t="s">
        <v>639</v>
      </c>
      <c r="P34" s="1383"/>
      <c r="Q34" s="1383"/>
      <c r="R34" s="1383"/>
      <c r="S34" s="1383"/>
      <c r="T34" s="1383"/>
      <c r="U34" s="1383"/>
      <c r="V34" s="1383"/>
      <c r="W34" s="1383"/>
      <c r="Y34" s="1026" t="s">
        <v>716</v>
      </c>
      <c r="Z34" s="1384" t="s">
        <v>851</v>
      </c>
      <c r="AA34" s="1384"/>
      <c r="AB34" s="1384"/>
      <c r="AC34" s="1384"/>
      <c r="AD34" s="1384"/>
    </row>
    <row r="35" spans="14:30">
      <c r="N35" s="1026" t="s">
        <v>632</v>
      </c>
      <c r="O35" s="1383" t="s">
        <v>825</v>
      </c>
      <c r="P35" s="1383"/>
      <c r="Q35" s="1383"/>
      <c r="R35" s="1383"/>
      <c r="S35" s="1383"/>
      <c r="T35" s="1383"/>
      <c r="U35" s="1383"/>
      <c r="V35" s="1383"/>
      <c r="W35" s="1383"/>
      <c r="Y35" s="1026" t="s">
        <v>640</v>
      </c>
      <c r="Z35" s="1384" t="s">
        <v>641</v>
      </c>
      <c r="AA35" s="1384"/>
      <c r="AB35" s="1384"/>
      <c r="AC35" s="1384"/>
      <c r="AD35" s="1384"/>
    </row>
    <row r="36" spans="14:30">
      <c r="N36" s="1026" t="s">
        <v>635</v>
      </c>
      <c r="O36" s="1383" t="s">
        <v>826</v>
      </c>
      <c r="P36" s="1383"/>
      <c r="Q36" s="1383"/>
      <c r="R36" s="1383"/>
      <c r="S36" s="1383"/>
      <c r="T36" s="1383"/>
      <c r="U36" s="1383"/>
      <c r="V36" s="1383"/>
      <c r="W36" s="1383"/>
      <c r="Y36" s="1026" t="s">
        <v>642</v>
      </c>
      <c r="Z36" s="1384" t="s">
        <v>643</v>
      </c>
      <c r="AA36" s="1384"/>
      <c r="AB36" s="1384"/>
      <c r="AC36" s="1384"/>
      <c r="AD36" s="1384"/>
    </row>
    <row r="37" spans="14:30">
      <c r="N37" s="1026" t="s">
        <v>640</v>
      </c>
      <c r="O37" s="1383" t="s">
        <v>644</v>
      </c>
      <c r="P37" s="1383"/>
      <c r="Q37" s="1383"/>
      <c r="R37" s="1383"/>
      <c r="S37" s="1383"/>
      <c r="T37" s="1383"/>
      <c r="U37" s="1383"/>
      <c r="V37" s="1383"/>
      <c r="W37" s="1383"/>
      <c r="Y37" s="1026" t="s">
        <v>645</v>
      </c>
      <c r="Z37" s="1384" t="s">
        <v>646</v>
      </c>
      <c r="AA37" s="1384"/>
      <c r="AB37" s="1384"/>
      <c r="AC37" s="1384"/>
      <c r="AD37" s="1384"/>
    </row>
    <row r="38" spans="14:30">
      <c r="N38" s="1026" t="s">
        <v>647</v>
      </c>
      <c r="O38" s="1383" t="s">
        <v>648</v>
      </c>
      <c r="P38" s="1383"/>
      <c r="Q38" s="1383"/>
      <c r="R38" s="1383"/>
      <c r="S38" s="1383"/>
      <c r="T38" s="1383"/>
      <c r="U38" s="1383"/>
      <c r="V38" s="1383"/>
      <c r="W38" s="1383"/>
      <c r="Y38" s="1026" t="s">
        <v>636</v>
      </c>
      <c r="Z38" s="1384" t="s">
        <v>637</v>
      </c>
      <c r="AA38" s="1384"/>
      <c r="AB38" s="1384"/>
      <c r="AC38" s="1384"/>
      <c r="AD38" s="1384"/>
    </row>
    <row r="39" spans="14:30">
      <c r="N39" s="1026" t="s">
        <v>642</v>
      </c>
      <c r="O39" s="1383" t="s">
        <v>649</v>
      </c>
      <c r="P39" s="1383"/>
      <c r="Q39" s="1383"/>
      <c r="R39" s="1383"/>
      <c r="S39" s="1383"/>
      <c r="T39" s="1383"/>
      <c r="U39" s="1383"/>
      <c r="V39" s="1383"/>
      <c r="W39" s="1383"/>
      <c r="Y39" s="1027" t="s">
        <v>638</v>
      </c>
      <c r="Z39" s="1386" t="s">
        <v>639</v>
      </c>
      <c r="AA39" s="1386"/>
      <c r="AB39" s="1386"/>
      <c r="AC39" s="1386"/>
      <c r="AD39" s="1386"/>
    </row>
    <row r="40" spans="14:30">
      <c r="N40" s="1027" t="s">
        <v>645</v>
      </c>
      <c r="O40" s="1385" t="s">
        <v>650</v>
      </c>
      <c r="P40" s="1385"/>
      <c r="Q40" s="1385"/>
      <c r="R40" s="1385"/>
      <c r="S40" s="1385"/>
      <c r="T40" s="1385"/>
      <c r="U40" s="1385"/>
      <c r="V40" s="1385"/>
      <c r="W40" s="1385"/>
    </row>
  </sheetData>
  <sheetProtection algorithmName="SHA-512" hashValue="AMkSTiI6KQO6J/qmFhU6BHR46SjVsfmxD/BpNPWhijcsFufp+KyXYjoo2E4/KsxEpFs0s79rH7iHruzweQ8J/w==" saltValue="KMXtIZlF3xEQ3+oM/Gy45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416</v>
      </c>
    </row>
    <row r="9" spans="2:2">
      <c r="B9" s="466"/>
    </row>
    <row r="10" spans="2:2">
      <c r="B10" s="463"/>
    </row>
    <row r="11" spans="2:2" ht="25.5">
      <c r="B11" s="1151" t="s">
        <v>417</v>
      </c>
    </row>
    <row r="12" spans="2:2">
      <c r="B12" s="1152"/>
    </row>
    <row r="13" spans="2:2" ht="76.5">
      <c r="B13" s="1152" t="s">
        <v>418</v>
      </c>
    </row>
    <row r="14" spans="2:2">
      <c r="B14" s="1152"/>
    </row>
    <row r="15" spans="2:2" ht="51">
      <c r="B15" s="1152" t="s">
        <v>419</v>
      </c>
    </row>
    <row r="16" spans="2:2">
      <c r="B16" s="1152"/>
    </row>
    <row r="17" spans="2:2" ht="51">
      <c r="B17" s="1153" t="s">
        <v>420</v>
      </c>
    </row>
  </sheetData>
  <sheetProtection algorithmName="SHA-512" hashValue="XXdHwEq/oS+fC/+n9uBpW80wu5fMLbSiVkpD5hYD/muy6cj69dgy8E5UUtKuDslPBa6t78isyE07EiGko/aKEQ==" saltValue="ow9xrjXuJs94nNs16MXow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395</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155</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137</v>
      </c>
      <c r="BB1" s="50" t="s">
        <v>146</v>
      </c>
      <c r="BC1" s="31" t="s">
        <v>214</v>
      </c>
      <c r="BD1" s="30" t="s">
        <v>150</v>
      </c>
      <c r="BE1" s="50" t="s">
        <v>153</v>
      </c>
      <c r="BF1" s="31" t="s">
        <v>154</v>
      </c>
      <c r="BG1" s="30" t="s">
        <v>209</v>
      </c>
      <c r="BH1" s="50" t="s">
        <v>210</v>
      </c>
      <c r="BI1" s="31" t="s">
        <v>217</v>
      </c>
      <c r="BJ1" s="30" t="s">
        <v>228</v>
      </c>
      <c r="BK1" s="50" t="s">
        <v>231</v>
      </c>
      <c r="BL1" s="31" t="s">
        <v>232</v>
      </c>
      <c r="BM1" s="30" t="s">
        <v>237</v>
      </c>
      <c r="BN1" s="50"/>
      <c r="BO1" s="31"/>
      <c r="BP1" s="30"/>
      <c r="BQ1" s="50"/>
      <c r="BR1" s="31"/>
      <c r="BS1" s="30"/>
      <c r="BT1" s="50"/>
      <c r="BU1" s="31"/>
      <c r="BV1" s="30" t="s">
        <v>280</v>
      </c>
      <c r="BW1" s="50" t="s">
        <v>281</v>
      </c>
      <c r="BX1" s="31" t="s">
        <v>286</v>
      </c>
      <c r="BY1" s="30" t="s">
        <v>288</v>
      </c>
      <c r="BZ1" s="50" t="s">
        <v>293</v>
      </c>
      <c r="CA1" s="31" t="s">
        <v>294</v>
      </c>
      <c r="CB1" s="30" t="s">
        <v>347</v>
      </c>
      <c r="CC1" s="50" t="s">
        <v>349</v>
      </c>
      <c r="CD1" s="31" t="s">
        <v>351</v>
      </c>
      <c r="CE1" s="30" t="s">
        <v>361</v>
      </c>
      <c r="CF1" s="50" t="s">
        <v>362</v>
      </c>
      <c r="CG1" s="31" t="s">
        <v>363</v>
      </c>
      <c r="CH1" s="30" t="s">
        <v>364</v>
      </c>
      <c r="CI1" s="50" t="s">
        <v>387</v>
      </c>
      <c r="CJ1" s="31" t="s">
        <v>389</v>
      </c>
      <c r="CK1" s="30" t="s">
        <v>227</v>
      </c>
      <c r="CL1" s="50" t="s">
        <v>313</v>
      </c>
      <c r="CM1" s="31" t="s">
        <v>316</v>
      </c>
      <c r="CN1" s="30" t="s">
        <v>331</v>
      </c>
      <c r="CO1" s="50" t="s">
        <v>332</v>
      </c>
      <c r="CP1" s="31" t="s">
        <v>341</v>
      </c>
      <c r="CQ1" s="30" t="s">
        <v>342</v>
      </c>
      <c r="CR1" s="31" t="s">
        <v>343</v>
      </c>
      <c r="CS1" s="30" t="s">
        <v>164</v>
      </c>
      <c r="CT1" s="31" t="s">
        <v>183</v>
      </c>
      <c r="CU1" s="30" t="s">
        <v>184</v>
      </c>
      <c r="CV1" s="31" t="s">
        <v>185</v>
      </c>
      <c r="CW1" s="30" t="s">
        <v>186</v>
      </c>
      <c r="CX1" s="31" t="s">
        <v>187</v>
      </c>
      <c r="CY1" s="30" t="s">
        <v>188</v>
      </c>
      <c r="CZ1" s="31" t="s">
        <v>189</v>
      </c>
      <c r="DA1" s="30" t="s">
        <v>190</v>
      </c>
      <c r="DB1" s="31" t="s">
        <v>191</v>
      </c>
      <c r="DC1" s="30" t="s">
        <v>195</v>
      </c>
      <c r="DD1" s="31" t="s">
        <v>196</v>
      </c>
      <c r="DE1" s="30" t="s">
        <v>405</v>
      </c>
      <c r="DF1" s="31" t="s">
        <v>43</v>
      </c>
      <c r="DG1" s="30" t="s">
        <v>443</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270</v>
      </c>
      <c r="CF4" s="1469"/>
      <c r="CG4" s="1469"/>
      <c r="CH4" s="1470"/>
    </row>
    <row r="5" spans="1:156" ht="12.75" customHeight="1" thickBot="1">
      <c r="A5" s="1438" t="str">
        <f>"Año:  " &amp;Criterios!B5 &amp; "                  Trimestre   " &amp;Criterios!D5 &amp; " al " &amp;Criterios!D6</f>
        <v>Año:  2026                  Trimestre   2 al 2</v>
      </c>
      <c r="B5" s="1440" t="s">
        <v>396</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151</v>
      </c>
      <c r="AT5" s="1424" t="s">
        <v>152</v>
      </c>
      <c r="AU5" s="1424" t="s">
        <v>235</v>
      </c>
      <c r="AV5" s="1424" t="s">
        <v>233</v>
      </c>
      <c r="AW5" s="1424" t="s">
        <v>236</v>
      </c>
      <c r="AX5" s="1424" t="s">
        <v>234</v>
      </c>
      <c r="AY5" s="1432" t="s">
        <v>108</v>
      </c>
      <c r="AZ5" s="1433"/>
      <c r="BA5" s="1433"/>
      <c r="BB5" s="1433"/>
      <c r="BC5" s="1434"/>
      <c r="BD5" s="1432" t="s">
        <v>109</v>
      </c>
      <c r="BE5" s="1474"/>
      <c r="BF5" s="1474"/>
      <c r="BG5" s="1475"/>
      <c r="BH5" s="1421" t="s">
        <v>144</v>
      </c>
      <c r="BI5" s="1421" t="s">
        <v>145</v>
      </c>
      <c r="BJ5" s="1429" t="s">
        <v>208</v>
      </c>
      <c r="BK5" s="1482" t="s">
        <v>211</v>
      </c>
      <c r="BL5" s="1482" t="s">
        <v>218</v>
      </c>
      <c r="BM5" s="1426" t="s">
        <v>314</v>
      </c>
      <c r="BN5" s="1330"/>
      <c r="BO5" s="1331"/>
      <c r="BP5" s="1330"/>
      <c r="BQ5" s="1331"/>
      <c r="BR5" s="1330"/>
      <c r="BS5" s="1331"/>
      <c r="BT5" s="1330"/>
      <c r="BU5" s="1331"/>
      <c r="BV5" s="1479" t="s">
        <v>269</v>
      </c>
      <c r="BW5" s="1485" t="s">
        <v>249</v>
      </c>
      <c r="BX5" s="1485" t="s">
        <v>250</v>
      </c>
      <c r="BY5" s="1471" t="s">
        <v>256</v>
      </c>
      <c r="BZ5" s="1471" t="s">
        <v>346</v>
      </c>
      <c r="CA5" s="1399" t="s">
        <v>285</v>
      </c>
      <c r="CB5" s="1399" t="s">
        <v>276</v>
      </c>
      <c r="CC5" s="1399" t="s">
        <v>277</v>
      </c>
      <c r="CD5" s="1399" t="s">
        <v>278</v>
      </c>
      <c r="CE5" s="1411" t="s">
        <v>289</v>
      </c>
      <c r="CF5" s="1411" t="s">
        <v>268</v>
      </c>
      <c r="CG5" s="1411" t="s">
        <v>266</v>
      </c>
      <c r="CH5" s="1411" t="s">
        <v>267</v>
      </c>
      <c r="CI5" s="1393" t="s">
        <v>291</v>
      </c>
      <c r="CJ5" s="1393" t="s">
        <v>292</v>
      </c>
      <c r="CK5" s="1396" t="s">
        <v>422</v>
      </c>
      <c r="CL5" s="1396" t="s">
        <v>423</v>
      </c>
      <c r="CM5" s="1396" t="s">
        <v>440</v>
      </c>
      <c r="CN5" s="1412" t="s">
        <v>367</v>
      </c>
      <c r="CO5" s="1412" t="s">
        <v>360</v>
      </c>
      <c r="CP5" s="1412" t="s">
        <v>366</v>
      </c>
      <c r="CQ5" s="1415" t="s">
        <v>365</v>
      </c>
      <c r="CR5" s="1415" t="s">
        <v>365</v>
      </c>
      <c r="CS5" s="1411" t="s">
        <v>385</v>
      </c>
      <c r="CT5" s="1411" t="s">
        <v>388</v>
      </c>
      <c r="CU5" s="1411" t="s">
        <v>226</v>
      </c>
      <c r="CV5" s="1411" t="s">
        <v>310</v>
      </c>
      <c r="CW5" s="1411" t="s">
        <v>330</v>
      </c>
      <c r="CX5" s="1411" t="s">
        <v>337</v>
      </c>
      <c r="CY5" s="1411" t="s">
        <v>433</v>
      </c>
      <c r="CZ5" s="1411" t="s">
        <v>434</v>
      </c>
      <c r="DA5" s="1411" t="s">
        <v>435</v>
      </c>
      <c r="DB5" s="1408" t="s">
        <v>192</v>
      </c>
      <c r="DC5" s="1408" t="s">
        <v>193</v>
      </c>
      <c r="DD5" s="1408" t="s">
        <v>194</v>
      </c>
      <c r="DE5" s="1418" t="s">
        <v>165</v>
      </c>
      <c r="DF5" s="1418" t="s">
        <v>404</v>
      </c>
      <c r="DG5" s="1411" t="s">
        <v>441</v>
      </c>
      <c r="DH5" s="1396" t="s">
        <v>422</v>
      </c>
      <c r="DI5" s="1396" t="s">
        <v>423</v>
      </c>
      <c r="DJ5" s="1396" t="s">
        <v>439</v>
      </c>
      <c r="DK5" s="1396" t="s">
        <v>473</v>
      </c>
      <c r="DL5" s="1396" t="s">
        <v>477</v>
      </c>
      <c r="DM5" s="1488" t="s">
        <v>517</v>
      </c>
      <c r="DN5" s="1488" t="s">
        <v>518</v>
      </c>
      <c r="DO5" s="1488" t="s">
        <v>519</v>
      </c>
      <c r="DP5" s="1488" t="s">
        <v>520</v>
      </c>
      <c r="DQ5" s="1488" t="s">
        <v>521</v>
      </c>
      <c r="DR5" s="1488" t="s">
        <v>522</v>
      </c>
      <c r="DS5" s="1488" t="s">
        <v>523</v>
      </c>
      <c r="DT5" s="1488" t="s">
        <v>524</v>
      </c>
      <c r="DU5" s="1489" t="s">
        <v>525</v>
      </c>
      <c r="DV5" s="1489" t="s">
        <v>526</v>
      </c>
      <c r="DW5" s="1498" t="s">
        <v>527</v>
      </c>
      <c r="DX5" s="1488" t="s">
        <v>528</v>
      </c>
      <c r="DY5" s="1495" t="s">
        <v>529</v>
      </c>
      <c r="DZ5" s="1498" t="s">
        <v>530</v>
      </c>
      <c r="EA5" s="1495" t="s">
        <v>531</v>
      </c>
      <c r="EB5" s="1492" t="s">
        <v>575</v>
      </c>
      <c r="EC5" s="1492" t="s">
        <v>576</v>
      </c>
      <c r="ED5" s="1492" t="s">
        <v>577</v>
      </c>
      <c r="EE5" s="1492" t="s">
        <v>610</v>
      </c>
      <c r="EF5" s="1492" t="s">
        <v>614</v>
      </c>
      <c r="EG5" s="1495" t="s">
        <v>612</v>
      </c>
      <c r="EH5" s="1495" t="s">
        <v>613</v>
      </c>
      <c r="EI5" s="1495" t="s">
        <v>579</v>
      </c>
      <c r="EJ5" s="1495" t="s">
        <v>580</v>
      </c>
      <c r="EK5" s="1504" t="s">
        <v>657</v>
      </c>
      <c r="EL5" s="1507" t="s">
        <v>673</v>
      </c>
      <c r="EM5" s="1508"/>
      <c r="EN5" s="1509"/>
      <c r="EO5" s="1408" t="s">
        <v>725</v>
      </c>
      <c r="EP5" s="1408" t="s">
        <v>727</v>
      </c>
      <c r="EQ5" s="1408" t="s">
        <v>728</v>
      </c>
      <c r="ER5" s="1408" t="s">
        <v>733</v>
      </c>
      <c r="ES5" s="1408" t="s">
        <v>738</v>
      </c>
      <c r="ET5" s="1501" t="s">
        <v>770</v>
      </c>
      <c r="EU5" s="1501" t="s">
        <v>771</v>
      </c>
      <c r="EV5" s="1405" t="s">
        <v>786</v>
      </c>
      <c r="EW5" s="1405" t="s">
        <v>791</v>
      </c>
      <c r="EX5" s="1402" t="s">
        <v>802</v>
      </c>
      <c r="EY5" s="1390" t="s">
        <v>807</v>
      </c>
      <c r="EZ5" s="1387" t="s">
        <v>850</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724</v>
      </c>
      <c r="B7" s="1442"/>
      <c r="C7" s="1445"/>
      <c r="D7" s="66" t="s">
        <v>397</v>
      </c>
      <c r="E7" s="67" t="s">
        <v>128</v>
      </c>
      <c r="F7" s="67" t="s">
        <v>127</v>
      </c>
      <c r="G7" s="121" t="s">
        <v>35</v>
      </c>
      <c r="H7" s="122" t="s">
        <v>398</v>
      </c>
      <c r="I7" s="9" t="s">
        <v>18</v>
      </c>
      <c r="J7" s="10" t="s">
        <v>13</v>
      </c>
      <c r="K7" s="10" t="s">
        <v>9</v>
      </c>
      <c r="L7" s="11" t="s">
        <v>19</v>
      </c>
      <c r="M7" s="9" t="s">
        <v>7</v>
      </c>
      <c r="N7" s="10" t="s">
        <v>8</v>
      </c>
      <c r="O7" s="158" t="s">
        <v>220</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674</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399</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450</v>
      </c>
      <c r="DI8" s="50" t="s">
        <v>451</v>
      </c>
      <c r="DJ8" s="469" t="s">
        <v>452</v>
      </c>
      <c r="DK8" s="469" t="s">
        <v>474</v>
      </c>
      <c r="DL8" s="469" t="s">
        <v>475</v>
      </c>
      <c r="DM8" s="469" t="s">
        <v>532</v>
      </c>
      <c r="DN8" s="469" t="s">
        <v>533</v>
      </c>
      <c r="DO8" s="469" t="s">
        <v>534</v>
      </c>
      <c r="DP8" s="469" t="s">
        <v>535</v>
      </c>
      <c r="DQ8" s="469" t="s">
        <v>536</v>
      </c>
      <c r="DR8" s="469" t="s">
        <v>537</v>
      </c>
      <c r="DS8" s="469" t="s">
        <v>538</v>
      </c>
      <c r="DT8" s="469" t="s">
        <v>539</v>
      </c>
      <c r="DU8" s="473" t="s">
        <v>540</v>
      </c>
      <c r="DV8" s="469" t="s">
        <v>541</v>
      </c>
      <c r="DW8" s="469" t="s">
        <v>542</v>
      </c>
      <c r="DX8" s="469" t="s">
        <v>543</v>
      </c>
      <c r="DY8" s="469" t="s">
        <v>544</v>
      </c>
      <c r="DZ8" s="469" t="s">
        <v>545</v>
      </c>
      <c r="EA8" s="469" t="s">
        <v>546</v>
      </c>
      <c r="EB8" s="469" t="s">
        <v>587</v>
      </c>
      <c r="EC8" s="469" t="s">
        <v>588</v>
      </c>
      <c r="ED8" s="469" t="s">
        <v>589</v>
      </c>
      <c r="EE8" s="469" t="s">
        <v>590</v>
      </c>
      <c r="EF8" s="469" t="s">
        <v>591</v>
      </c>
      <c r="EG8" s="469" t="s">
        <v>592</v>
      </c>
      <c r="EH8" s="469" t="s">
        <v>593</v>
      </c>
      <c r="EI8" s="469" t="s">
        <v>594</v>
      </c>
      <c r="EJ8" s="469" t="s">
        <v>595</v>
      </c>
      <c r="EK8" s="469" t="s">
        <v>658</v>
      </c>
      <c r="EL8" s="639" t="s">
        <v>675</v>
      </c>
      <c r="EM8" s="639" t="s">
        <v>676</v>
      </c>
      <c r="EN8" s="639" t="s">
        <v>677</v>
      </c>
      <c r="EO8" s="50" t="s">
        <v>726</v>
      </c>
      <c r="EP8" s="50" t="s">
        <v>731</v>
      </c>
      <c r="EQ8" s="469" t="s">
        <v>732</v>
      </c>
      <c r="ER8" s="469">
        <v>148</v>
      </c>
      <c r="ES8" s="469" t="s">
        <v>739</v>
      </c>
      <c r="ET8" s="1136" t="s">
        <v>772</v>
      </c>
      <c r="EU8" s="1136" t="s">
        <v>773</v>
      </c>
      <c r="EV8" s="151" t="s">
        <v>780</v>
      </c>
      <c r="EW8" s="151">
        <v>153</v>
      </c>
      <c r="EX8" s="469" t="s">
        <v>801</v>
      </c>
      <c r="EY8" s="469" t="s">
        <v>806</v>
      </c>
      <c r="EZ8" s="469" t="s">
        <v>849</v>
      </c>
    </row>
    <row r="9" spans="1:156" ht="14.25" customHeight="1">
      <c r="A9" s="20" t="s">
        <v>1001</v>
      </c>
      <c r="B9" s="21" t="s">
        <v>399</v>
      </c>
      <c r="C9" s="22" t="s">
        <v>3</v>
      </c>
      <c r="D9" s="23" t="s">
        <v>20</v>
      </c>
      <c r="E9" s="21" t="s">
        <v>21</v>
      </c>
      <c r="F9" s="21">
        <v>32</v>
      </c>
      <c r="G9" s="6" t="s">
        <v>136</v>
      </c>
      <c r="H9" s="136" t="s">
        <v>1005</v>
      </c>
      <c r="I9" s="179">
        <v>5566</v>
      </c>
      <c r="J9" s="180">
        <v>2768</v>
      </c>
      <c r="K9" s="180">
        <v>3347</v>
      </c>
      <c r="L9" s="180">
        <v>5052</v>
      </c>
      <c r="M9" s="180">
        <v>920</v>
      </c>
      <c r="N9" s="180">
        <v>1485</v>
      </c>
      <c r="O9" s="180">
        <v>1445</v>
      </c>
      <c r="P9" s="180">
        <v>821</v>
      </c>
      <c r="Q9" s="180">
        <v>1070</v>
      </c>
      <c r="R9" s="180">
        <v>10384</v>
      </c>
      <c r="S9" s="180">
        <v>7961</v>
      </c>
      <c r="T9" s="180">
        <v>2403</v>
      </c>
      <c r="U9" s="180">
        <v>3380</v>
      </c>
      <c r="V9" s="180">
        <v>7181</v>
      </c>
      <c r="W9" s="180">
        <v>982</v>
      </c>
      <c r="X9" s="187">
        <v>1436</v>
      </c>
      <c r="Y9" s="190">
        <v>124</v>
      </c>
      <c r="Z9" s="180">
        <v>161</v>
      </c>
      <c r="AA9" s="180">
        <v>106</v>
      </c>
      <c r="AB9" s="180">
        <v>179</v>
      </c>
      <c r="AC9" s="180">
        <v>0</v>
      </c>
      <c r="AD9" s="180">
        <v>0</v>
      </c>
      <c r="AE9" s="180">
        <v>0</v>
      </c>
      <c r="AF9" s="187">
        <v>0</v>
      </c>
      <c r="AG9" s="190">
        <v>65</v>
      </c>
      <c r="AH9" s="180">
        <v>177</v>
      </c>
      <c r="AI9" s="180">
        <v>141</v>
      </c>
      <c r="AJ9" s="191">
        <v>109</v>
      </c>
      <c r="AK9" s="179">
        <v>0</v>
      </c>
      <c r="AL9" s="180">
        <v>0</v>
      </c>
      <c r="AM9" s="180">
        <v>0</v>
      </c>
      <c r="AN9" s="187">
        <v>0</v>
      </c>
      <c r="AO9" s="257">
        <v>7</v>
      </c>
      <c r="AP9" s="153">
        <v>7</v>
      </c>
      <c r="AQ9" s="153">
        <v>7</v>
      </c>
      <c r="AR9" s="192">
        <v>7</v>
      </c>
      <c r="AS9" s="337" t="s">
        <v>758</v>
      </c>
      <c r="AT9" s="194"/>
      <c r="AU9" s="193"/>
      <c r="AV9" s="194"/>
      <c r="AW9" s="193"/>
      <c r="AX9" s="194"/>
      <c r="AY9" s="123">
        <f>IF(ISNUMBER(IF(J_V="SI",S9,S9+AG9)),IF(J_V="SI",S9,S9+AG9)," - ")</f>
        <v>8026</v>
      </c>
      <c r="AZ9" s="123">
        <f>IF(ISNUMBER(IF(J_V="SI",T9,T9+AH9)),IF(J_V="SI",T9,T9+AH9)," - ")</f>
        <v>2580</v>
      </c>
      <c r="BA9" s="124">
        <f>IF(ISNUMBER(IF(J_V="SI",U9,U9+AI9)),IF(J_V="SI",U9,U9+AI9)," - ")</f>
        <v>3521</v>
      </c>
      <c r="BB9" s="124">
        <f>IF(ISNUMBER(IF(J_V="SI",V9,V9+AJ9)),IF(J_V="SI",V9,V9+AJ9)," - ")</f>
        <v>7290</v>
      </c>
      <c r="BC9" s="125">
        <f>IF(ISNUMBER(X9),X9," - ")</f>
        <v>1436</v>
      </c>
      <c r="BD9" s="126">
        <f>IF(ISNUMBER(BA9/AZ9),BA9/AZ9," - ")</f>
        <v>1.3647286821705427</v>
      </c>
      <c r="BE9" s="127">
        <f>IF(ISNUMBER(BB9/BA9),BB9/BA9, " - ")</f>
        <v>2.0704345356432832</v>
      </c>
      <c r="BF9" s="127">
        <f>IF(ISNUMBER(BC9/BA9),BC9/BA9, " - ")</f>
        <v>0.40783868219255892</v>
      </c>
      <c r="BG9" s="195">
        <f>IF(ISNUMBER((AY9+AZ9)/BA9),(AY9+AZ9)/BA9," - ")</f>
        <v>3.0122124396478274</v>
      </c>
      <c r="BH9" s="153">
        <v>7</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816</v>
      </c>
      <c r="EP9" s="992"/>
      <c r="EQ9" s="992"/>
      <c r="ER9" s="995">
        <v>1200</v>
      </c>
      <c r="ES9" s="992"/>
      <c r="ET9" s="1137"/>
      <c r="EU9" s="1137"/>
      <c r="EV9" s="1150"/>
      <c r="EW9" s="1150"/>
      <c r="EX9" s="155"/>
      <c r="EY9" s="155"/>
      <c r="EZ9" s="155"/>
    </row>
    <row r="10" spans="1:156" ht="14.25" customHeight="1">
      <c r="A10" s="20" t="s">
        <v>1006</v>
      </c>
      <c r="B10" s="21" t="s">
        <v>399</v>
      </c>
      <c r="C10" s="22" t="s">
        <v>3</v>
      </c>
      <c r="D10" s="23" t="s">
        <v>82</v>
      </c>
      <c r="E10" s="21" t="s">
        <v>82</v>
      </c>
      <c r="F10" s="21" t="s">
        <v>137</v>
      </c>
      <c r="G10" s="6" t="s">
        <v>136</v>
      </c>
      <c r="H10" s="28"/>
      <c r="I10" s="179">
        <v>115</v>
      </c>
      <c r="J10" s="180">
        <v>37</v>
      </c>
      <c r="K10" s="180">
        <v>38</v>
      </c>
      <c r="L10" s="180">
        <v>114</v>
      </c>
      <c r="M10" s="180">
        <v>22</v>
      </c>
      <c r="N10" s="180">
        <v>14</v>
      </c>
      <c r="O10" s="180">
        <v>5</v>
      </c>
      <c r="P10" s="180">
        <v>11</v>
      </c>
      <c r="Q10" s="180">
        <v>8</v>
      </c>
      <c r="R10" s="180">
        <v>77</v>
      </c>
      <c r="S10" s="180">
        <v>115</v>
      </c>
      <c r="T10" s="180">
        <v>30</v>
      </c>
      <c r="U10" s="180">
        <v>39</v>
      </c>
      <c r="V10" s="180">
        <v>106</v>
      </c>
      <c r="W10" s="180">
        <v>19</v>
      </c>
      <c r="X10" s="187">
        <v>15</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752</v>
      </c>
      <c r="AT10" s="191"/>
      <c r="AU10" s="199"/>
      <c r="AV10" s="191"/>
      <c r="AW10" s="199"/>
      <c r="AX10" s="191"/>
      <c r="AY10" s="128">
        <f t="shared" ref="AY10:BC10" si="0">IF(ISNUMBER(S10),S10," - ")</f>
        <v>115</v>
      </c>
      <c r="AZ10" s="129">
        <f t="shared" si="0"/>
        <v>30</v>
      </c>
      <c r="BA10" s="129">
        <f t="shared" si="0"/>
        <v>39</v>
      </c>
      <c r="BB10" s="129">
        <f t="shared" si="0"/>
        <v>106</v>
      </c>
      <c r="BC10" s="125">
        <f t="shared" si="0"/>
        <v>19</v>
      </c>
      <c r="BD10" s="126">
        <f>IF(ISNUMBER(BA10/AZ10),BA10/AZ10," - ")</f>
        <v>1.3</v>
      </c>
      <c r="BE10" s="127">
        <f>IF(ISNUMBER(BB10/BA10),BB10/BA10, " - ")</f>
        <v>2.7179487179487181</v>
      </c>
      <c r="BF10" s="127">
        <f>IF(ISNUMBER(BC10/BA10),BC10/BA10, " - ")</f>
        <v>0.48717948717948717</v>
      </c>
      <c r="BG10" s="195">
        <f>IF(ISNUMBER((AY10+AZ10)/BA10),(AY10+AZ10)/BA10," - ")</f>
        <v>3.7179487179487181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746</v>
      </c>
      <c r="EP10" s="338"/>
      <c r="EQ10" s="338"/>
      <c r="ER10" s="996">
        <v>1600</v>
      </c>
      <c r="ES10" s="338"/>
      <c r="ET10" s="1137"/>
      <c r="EU10" s="1137"/>
      <c r="EV10" s="1150"/>
      <c r="EW10" s="1150"/>
      <c r="EX10" s="288"/>
      <c r="EY10" s="288"/>
      <c r="EZ10" s="155"/>
    </row>
    <row r="11" spans="1:156" ht="14.25" customHeight="1" thickBot="1">
      <c r="A11" s="20" t="s">
        <v>1009</v>
      </c>
      <c r="B11" s="21" t="s">
        <v>399</v>
      </c>
      <c r="C11" s="22" t="s">
        <v>3</v>
      </c>
      <c r="D11" s="23" t="s">
        <v>20</v>
      </c>
      <c r="E11" s="21" t="s">
        <v>51</v>
      </c>
      <c r="F11" s="21">
        <v>32</v>
      </c>
      <c r="G11" s="6" t="s">
        <v>136</v>
      </c>
      <c r="H11" s="28" t="s">
        <v>36</v>
      </c>
      <c r="I11" s="181">
        <v>441</v>
      </c>
      <c r="J11" s="182">
        <v>263</v>
      </c>
      <c r="K11" s="182">
        <v>190</v>
      </c>
      <c r="L11" s="182">
        <v>514</v>
      </c>
      <c r="M11" s="182">
        <v>113</v>
      </c>
      <c r="N11" s="182">
        <v>180</v>
      </c>
      <c r="O11" s="180">
        <v>47</v>
      </c>
      <c r="P11" s="182">
        <v>46</v>
      </c>
      <c r="Q11" s="182">
        <v>66</v>
      </c>
      <c r="R11" s="182">
        <v>317</v>
      </c>
      <c r="S11" s="182">
        <v>483</v>
      </c>
      <c r="T11" s="182">
        <v>200</v>
      </c>
      <c r="U11" s="182">
        <v>245</v>
      </c>
      <c r="V11" s="182">
        <v>366</v>
      </c>
      <c r="W11" s="182">
        <v>153</v>
      </c>
      <c r="X11" s="188">
        <v>176</v>
      </c>
      <c r="Y11" s="190">
        <v>90</v>
      </c>
      <c r="Z11" s="180">
        <v>101</v>
      </c>
      <c r="AA11" s="180">
        <v>102</v>
      </c>
      <c r="AB11" s="180">
        <v>89</v>
      </c>
      <c r="AC11" s="182">
        <v>0</v>
      </c>
      <c r="AD11" s="182">
        <v>0</v>
      </c>
      <c r="AE11" s="182">
        <v>0</v>
      </c>
      <c r="AF11" s="188">
        <v>0</v>
      </c>
      <c r="AG11" s="201">
        <v>12</v>
      </c>
      <c r="AH11" s="182">
        <v>57</v>
      </c>
      <c r="AI11" s="182">
        <v>64</v>
      </c>
      <c r="AJ11" s="202">
        <v>49</v>
      </c>
      <c r="AK11" s="181">
        <v>0</v>
      </c>
      <c r="AL11" s="182">
        <v>0</v>
      </c>
      <c r="AM11" s="182">
        <v>0</v>
      </c>
      <c r="AN11" s="188">
        <v>0</v>
      </c>
      <c r="AO11" s="258">
        <v>1</v>
      </c>
      <c r="AP11" s="154">
        <v>1</v>
      </c>
      <c r="AQ11" s="154">
        <v>1</v>
      </c>
      <c r="AR11" s="153">
        <v>1</v>
      </c>
      <c r="AS11" s="339" t="s">
        <v>759</v>
      </c>
      <c r="AT11" s="202"/>
      <c r="AU11" s="201"/>
      <c r="AV11" s="202"/>
      <c r="AW11" s="201"/>
      <c r="AX11" s="202"/>
      <c r="AY11" s="126">
        <f t="shared" ref="AY11:BB12" si="1">IF(ISNUMBER(IF(J_V="SI",S11,S11+AG11)),IF(J_V="SI",S11,S11+AG11)," - ")</f>
        <v>495</v>
      </c>
      <c r="AZ11" s="127">
        <f t="shared" si="1"/>
        <v>257</v>
      </c>
      <c r="BA11" s="127">
        <f t="shared" si="1"/>
        <v>309</v>
      </c>
      <c r="BB11" s="127">
        <f t="shared" si="1"/>
        <v>415</v>
      </c>
      <c r="BC11" s="125">
        <f>IF(ISNUMBER(X11),X11," - ")</f>
        <v>176</v>
      </c>
      <c r="BD11" s="126">
        <f t="shared" ref="BD11:BD12" si="2">IF(ISNUMBER(BA11/AZ11),BA11/AZ11," - ")</f>
        <v>1.2023346303501945</v>
      </c>
      <c r="BE11" s="127">
        <f t="shared" ref="BE11:BE12" si="3">IF(ISNUMBER(BB11/BA11),BB11/BA11, " - ")</f>
        <v>1.3430420711974109</v>
      </c>
      <c r="BF11" s="127">
        <f t="shared" ref="BF11:BF12" si="4">IF(ISNUMBER(BC11/BA11),BC11/BA11, " - ")</f>
        <v>0.56957928802588997</v>
      </c>
      <c r="BG11" s="195">
        <f t="shared" ref="BG11:BG12" si="5">IF(ISNUMBER((AY11+AZ11)/BA11),(AY11+AZ11)/BA11," - ")</f>
        <v>2.4336569579288025</v>
      </c>
      <c r="BH11" s="154">
        <v>2</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817</v>
      </c>
      <c r="EP11" s="993"/>
      <c r="EQ11" s="993"/>
      <c r="ER11" s="997">
        <v>1323</v>
      </c>
      <c r="ES11" s="993"/>
      <c r="ET11" s="1137"/>
      <c r="EU11" s="1137"/>
      <c r="EV11" s="1150"/>
      <c r="EW11" s="1150"/>
      <c r="EX11" s="288"/>
      <c r="EY11" s="288"/>
      <c r="EZ11" s="155"/>
    </row>
    <row r="12" spans="1:156" ht="14.25" customHeight="1">
      <c r="A12" s="20" t="s">
        <v>1008</v>
      </c>
      <c r="B12" s="21" t="s">
        <v>399</v>
      </c>
      <c r="C12" s="22" t="s">
        <v>3</v>
      </c>
      <c r="D12" s="23" t="s">
        <v>20</v>
      </c>
      <c r="E12" s="21" t="s">
        <v>20</v>
      </c>
      <c r="F12" s="21">
        <v>31</v>
      </c>
      <c r="G12" s="6" t="s">
        <v>136</v>
      </c>
      <c r="H12" s="214"/>
      <c r="I12" s="181">
        <v>1</v>
      </c>
      <c r="J12" s="182">
        <v>0</v>
      </c>
      <c r="K12" s="182">
        <v>0</v>
      </c>
      <c r="L12" s="182">
        <v>1</v>
      </c>
      <c r="M12" s="182">
        <v>0</v>
      </c>
      <c r="N12" s="182">
        <v>0</v>
      </c>
      <c r="O12" s="180">
        <v>0</v>
      </c>
      <c r="P12" s="182">
        <v>0</v>
      </c>
      <c r="Q12" s="182">
        <v>0</v>
      </c>
      <c r="R12" s="182">
        <v>24</v>
      </c>
      <c r="S12" s="182">
        <v>1</v>
      </c>
      <c r="T12" s="182">
        <v>0</v>
      </c>
      <c r="U12" s="182">
        <v>0</v>
      </c>
      <c r="V12" s="182">
        <v>1</v>
      </c>
      <c r="W12" s="182">
        <v>0</v>
      </c>
      <c r="X12" s="188">
        <v>0</v>
      </c>
      <c r="Y12" s="190">
        <v>0</v>
      </c>
      <c r="Z12" s="180">
        <v>0</v>
      </c>
      <c r="AA12" s="180">
        <v>0</v>
      </c>
      <c r="AB12" s="180">
        <v>0</v>
      </c>
      <c r="AC12" s="182">
        <v>0</v>
      </c>
      <c r="AD12" s="182">
        <v>0</v>
      </c>
      <c r="AE12" s="182">
        <v>0</v>
      </c>
      <c r="AF12" s="188">
        <v>0</v>
      </c>
      <c r="AG12" s="201">
        <v>0</v>
      </c>
      <c r="AH12" s="182">
        <v>0</v>
      </c>
      <c r="AI12" s="182">
        <v>0</v>
      </c>
      <c r="AJ12" s="202">
        <v>0</v>
      </c>
      <c r="AK12" s="181">
        <v>0</v>
      </c>
      <c r="AL12" s="182">
        <v>0</v>
      </c>
      <c r="AM12" s="182">
        <v>0</v>
      </c>
      <c r="AN12" s="188">
        <v>0</v>
      </c>
      <c r="AO12" s="258">
        <v>0</v>
      </c>
      <c r="AP12" s="154">
        <v>0</v>
      </c>
      <c r="AQ12" s="154">
        <v>0</v>
      </c>
      <c r="AR12" s="153">
        <v>0</v>
      </c>
      <c r="AS12" s="339" t="s">
        <v>760</v>
      </c>
      <c r="AT12" s="202"/>
      <c r="AU12" s="201"/>
      <c r="AV12" s="202"/>
      <c r="AW12" s="201"/>
      <c r="AX12" s="202"/>
      <c r="AY12" s="126">
        <f t="shared" si="1"/>
        <v>1</v>
      </c>
      <c r="AZ12" s="127">
        <f t="shared" si="1"/>
        <v>0</v>
      </c>
      <c r="BA12" s="127">
        <f t="shared" si="1"/>
        <v>0</v>
      </c>
      <c r="BB12" s="127">
        <f t="shared" si="1"/>
        <v>1</v>
      </c>
      <c r="BC12" s="125">
        <f>IF(ISNUMBER(X12),X12," - ")</f>
        <v>0</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818</v>
      </c>
      <c r="EP12" s="994"/>
      <c r="EQ12" s="994"/>
      <c r="ER12" s="995">
        <v>680</v>
      </c>
      <c r="ES12" s="994"/>
      <c r="ET12" s="1137"/>
      <c r="EU12" s="1137"/>
      <c r="EV12" s="1150"/>
      <c r="EW12" s="1150"/>
      <c r="EX12" s="288"/>
      <c r="EY12" s="288"/>
      <c r="EZ12" s="155"/>
    </row>
    <row r="13" spans="1:156" ht="14.25" customHeight="1" thickBot="1">
      <c r="A13" s="74" t="s">
        <v>0</v>
      </c>
      <c r="B13" s="75" t="s">
        <v>399</v>
      </c>
      <c r="C13" s="76" t="s">
        <v>4</v>
      </c>
      <c r="D13" s="77"/>
      <c r="E13" s="78"/>
      <c r="F13" s="78"/>
      <c r="G13" s="79"/>
      <c r="H13" s="80"/>
      <c r="I13" s="183">
        <f t="shared" ref="I13:AE13" si="6">SUBTOTAL(9,I8:I12)</f>
        <v>6123</v>
      </c>
      <c r="J13" s="183">
        <f t="shared" si="6"/>
        <v>3068</v>
      </c>
      <c r="K13" s="183">
        <f t="shared" si="6"/>
        <v>3575</v>
      </c>
      <c r="L13" s="183">
        <f t="shared" si="6"/>
        <v>5681</v>
      </c>
      <c r="M13" s="183">
        <f t="shared" si="6"/>
        <v>1055</v>
      </c>
      <c r="N13" s="183">
        <f t="shared" si="6"/>
        <v>1679</v>
      </c>
      <c r="O13" s="183">
        <f t="shared" si="6"/>
        <v>1497</v>
      </c>
      <c r="P13" s="183">
        <f t="shared" si="6"/>
        <v>878</v>
      </c>
      <c r="Q13" s="183">
        <f t="shared" si="6"/>
        <v>1144</v>
      </c>
      <c r="R13" s="183">
        <f t="shared" si="6"/>
        <v>10802</v>
      </c>
      <c r="S13" s="183">
        <f t="shared" si="6"/>
        <v>8560</v>
      </c>
      <c r="T13" s="183">
        <f t="shared" si="6"/>
        <v>2633</v>
      </c>
      <c r="U13" s="183">
        <f t="shared" si="6"/>
        <v>3664</v>
      </c>
      <c r="V13" s="183">
        <f t="shared" si="6"/>
        <v>7654</v>
      </c>
      <c r="W13" s="183">
        <f t="shared" si="6"/>
        <v>1154</v>
      </c>
      <c r="X13" s="183">
        <f t="shared" si="6"/>
        <v>1627</v>
      </c>
      <c r="Y13" s="183">
        <f t="shared" si="6"/>
        <v>214</v>
      </c>
      <c r="Z13" s="183">
        <f t="shared" si="6"/>
        <v>262</v>
      </c>
      <c r="AA13" s="183">
        <f t="shared" si="6"/>
        <v>208</v>
      </c>
      <c r="AB13" s="183">
        <f t="shared" si="6"/>
        <v>268</v>
      </c>
      <c r="AC13" s="183">
        <f t="shared" si="6"/>
        <v>0</v>
      </c>
      <c r="AD13" s="183">
        <f t="shared" si="6"/>
        <v>0</v>
      </c>
      <c r="AE13" s="183">
        <f t="shared" si="6"/>
        <v>0</v>
      </c>
      <c r="AF13" s="183">
        <f>SUBTOTAL(9,AF9:AF12)</f>
        <v>0</v>
      </c>
      <c r="AG13" s="183">
        <f t="shared" ref="AG13:AT13" si="7">SUBTOTAL(9,AG8:AG12)</f>
        <v>77</v>
      </c>
      <c r="AH13" s="183">
        <f t="shared" si="7"/>
        <v>234</v>
      </c>
      <c r="AI13" s="183">
        <f t="shared" si="7"/>
        <v>205</v>
      </c>
      <c r="AJ13" s="183">
        <f t="shared" si="7"/>
        <v>158</v>
      </c>
      <c r="AK13" s="183">
        <f t="shared" si="7"/>
        <v>0</v>
      </c>
      <c r="AL13" s="183">
        <f t="shared" si="7"/>
        <v>0</v>
      </c>
      <c r="AM13" s="183">
        <f t="shared" si="7"/>
        <v>0</v>
      </c>
      <c r="AN13" s="183">
        <f t="shared" si="7"/>
        <v>0</v>
      </c>
      <c r="AO13" s="183">
        <f t="shared" si="7"/>
        <v>10</v>
      </c>
      <c r="AP13" s="183">
        <f t="shared" si="7"/>
        <v>10</v>
      </c>
      <c r="AQ13" s="183">
        <f t="shared" si="7"/>
        <v>10</v>
      </c>
      <c r="AR13" s="183">
        <f t="shared" si="7"/>
        <v>10</v>
      </c>
      <c r="AS13" s="183">
        <f t="shared" si="7"/>
        <v>0</v>
      </c>
      <c r="AT13" s="183">
        <f t="shared" si="7"/>
        <v>0</v>
      </c>
      <c r="AU13" s="203"/>
      <c r="AV13" s="132"/>
      <c r="AW13" s="203"/>
      <c r="AX13" s="132"/>
      <c r="AY13" s="183">
        <f>SUBTOTAL(9,AY8:AY12)</f>
        <v>8637</v>
      </c>
      <c r="AZ13" s="183">
        <f>SUBTOTAL(9,AZ8:AZ12)</f>
        <v>2867</v>
      </c>
      <c r="BA13" s="183">
        <f>SUBTOTAL(9,BA8:BA12)</f>
        <v>3869</v>
      </c>
      <c r="BB13" s="183">
        <f>SUBTOTAL(9,BB8:BB12)</f>
        <v>7812</v>
      </c>
      <c r="BC13" s="183">
        <f>SUBTOTAL(9,BC8:BC12)</f>
        <v>1631</v>
      </c>
      <c r="BD13" s="204">
        <f>IF(ISNUMBER(BA13/AZ13),BA13/AZ13," - ")</f>
        <v>1.3494942448552494</v>
      </c>
      <c r="BE13" s="205">
        <f>IF(ISNUMBER(BB13/BA13),BB13/BA13, " - ")</f>
        <v>2.0191263892478677</v>
      </c>
      <c r="BF13" s="205">
        <f>IF(ISNUMBER(BC13/BA13),BC13/BA13, " - ")</f>
        <v>0.42155595761178599</v>
      </c>
      <c r="BG13" s="206">
        <f>IF(ISNUMBER((AY13+AZ13)/BA13),(AY13+AZ13)/BA13," - ")</f>
        <v>2.9733781338847249</v>
      </c>
      <c r="BH13" s="139">
        <f>SUBTOTAL(9,BH8:BH12)</f>
        <v>10</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399</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1002</v>
      </c>
      <c r="B15" s="21" t="s">
        <v>399</v>
      </c>
      <c r="C15" s="22" t="s">
        <v>3</v>
      </c>
      <c r="D15" s="23" t="s">
        <v>20</v>
      </c>
      <c r="E15" s="21" t="s">
        <v>22</v>
      </c>
      <c r="F15" s="21">
        <v>33</v>
      </c>
      <c r="G15" s="6" t="s">
        <v>136</v>
      </c>
      <c r="H15" s="24"/>
      <c r="I15" s="181">
        <v>2362</v>
      </c>
      <c r="J15" s="182">
        <v>2621</v>
      </c>
      <c r="K15" s="182">
        <v>2585</v>
      </c>
      <c r="L15" s="182">
        <v>2419</v>
      </c>
      <c r="M15" s="182">
        <v>334</v>
      </c>
      <c r="N15" s="182">
        <v>1588</v>
      </c>
      <c r="O15" s="180">
        <v>157</v>
      </c>
      <c r="P15" s="182">
        <v>89</v>
      </c>
      <c r="Q15" s="182">
        <v>157</v>
      </c>
      <c r="R15" s="182">
        <v>191</v>
      </c>
      <c r="S15" s="182">
        <v>2174</v>
      </c>
      <c r="T15" s="182">
        <v>2544</v>
      </c>
      <c r="U15" s="182">
        <v>2561</v>
      </c>
      <c r="V15" s="182">
        <v>2185</v>
      </c>
      <c r="W15" s="182">
        <v>357</v>
      </c>
      <c r="X15" s="188">
        <v>1642</v>
      </c>
      <c r="Y15" s="201">
        <v>0</v>
      </c>
      <c r="Z15" s="182">
        <v>0</v>
      </c>
      <c r="AA15" s="182">
        <v>0</v>
      </c>
      <c r="AB15" s="182">
        <v>0</v>
      </c>
      <c r="AC15" s="182">
        <v>8</v>
      </c>
      <c r="AD15" s="182">
        <v>116</v>
      </c>
      <c r="AE15" s="182">
        <v>113</v>
      </c>
      <c r="AF15" s="188">
        <v>11</v>
      </c>
      <c r="AG15" s="201">
        <v>0</v>
      </c>
      <c r="AH15" s="182">
        <v>0</v>
      </c>
      <c r="AI15" s="182">
        <v>0</v>
      </c>
      <c r="AJ15" s="202">
        <v>0</v>
      </c>
      <c r="AK15" s="181">
        <v>6</v>
      </c>
      <c r="AL15" s="182">
        <v>152</v>
      </c>
      <c r="AM15" s="182">
        <v>149</v>
      </c>
      <c r="AN15" s="188">
        <v>9</v>
      </c>
      <c r="AO15" s="258">
        <v>4</v>
      </c>
      <c r="AP15" s="154">
        <v>4</v>
      </c>
      <c r="AQ15" s="154">
        <v>4</v>
      </c>
      <c r="AR15" s="154">
        <v>4</v>
      </c>
      <c r="AS15" s="339" t="s">
        <v>515</v>
      </c>
      <c r="AT15" s="202" t="s">
        <v>323</v>
      </c>
      <c r="AU15" s="201"/>
      <c r="AV15" s="202"/>
      <c r="AW15" s="201"/>
      <c r="AX15" s="202"/>
      <c r="AY15" s="128">
        <f t="shared" ref="AY15:BB17" si="9">IF(ISNUMBER(IF(D_I="SI",S15,S15+AK15)),IF(D_I="SI",S15,S15+AK15)," - ")</f>
        <v>2174</v>
      </c>
      <c r="AZ15" s="129">
        <f t="shared" si="9"/>
        <v>2544</v>
      </c>
      <c r="BA15" s="129">
        <f t="shared" si="9"/>
        <v>2561</v>
      </c>
      <c r="BB15" s="129">
        <f t="shared" si="9"/>
        <v>2185</v>
      </c>
      <c r="BC15" s="125">
        <f>IF(ISNUMBER(W15),W15," - ")</f>
        <v>357</v>
      </c>
      <c r="BD15" s="126">
        <f>IF(ISNUMBER(BA15/AZ15),BA15/AZ15," - ")</f>
        <v>1.0066823899371069</v>
      </c>
      <c r="BE15" s="127">
        <f>IF(ISNUMBER(BB15/BA15),BB15/BA15, " - ")</f>
        <v>0.85318235064427961</v>
      </c>
      <c r="BF15" s="127">
        <f>IF(ISNUMBER(BC15/BA15),BC15/BA15, " - ")</f>
        <v>0.13939867239359624</v>
      </c>
      <c r="BG15" s="195">
        <f t="shared" ref="BG15:BG17" si="10">IF(ISNUMBER((AY15+AZ15)/BA15),(AY15+AZ15)/BA15," - ")</f>
        <v>1.8422491214369388</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994</v>
      </c>
      <c r="EP15" s="993"/>
      <c r="EQ15" s="993"/>
      <c r="ER15" s="997">
        <v>3300</v>
      </c>
      <c r="ES15" s="993"/>
      <c r="ET15" s="1137"/>
      <c r="EU15" s="1137"/>
      <c r="EV15" s="1150"/>
      <c r="EW15" s="1150"/>
      <c r="EX15" s="154"/>
      <c r="EY15" s="154"/>
      <c r="EZ15" s="154"/>
    </row>
    <row r="16" spans="1:156" ht="14.25" customHeight="1">
      <c r="A16" s="7" t="s">
        <v>1007</v>
      </c>
      <c r="B16" s="21" t="s">
        <v>399</v>
      </c>
      <c r="C16" s="22" t="s">
        <v>3</v>
      </c>
      <c r="D16" s="23" t="s">
        <v>20</v>
      </c>
      <c r="E16" s="21" t="s">
        <v>210</v>
      </c>
      <c r="F16" s="21" t="s">
        <v>81</v>
      </c>
      <c r="G16" s="6" t="s">
        <v>136</v>
      </c>
      <c r="H16" s="24"/>
      <c r="I16" s="181" t="s">
        <v>483</v>
      </c>
      <c r="J16" s="182" t="s">
        <v>479</v>
      </c>
      <c r="K16" s="182" t="s">
        <v>480</v>
      </c>
      <c r="L16" s="182" t="s">
        <v>481</v>
      </c>
      <c r="M16" s="182" t="s">
        <v>486</v>
      </c>
      <c r="N16" s="182" t="s">
        <v>147</v>
      </c>
      <c r="O16" s="180" t="s">
        <v>222</v>
      </c>
      <c r="P16" s="182" t="s">
        <v>467</v>
      </c>
      <c r="Q16" s="182" t="s">
        <v>468</v>
      </c>
      <c r="R16" s="182" t="s">
        <v>469</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515</v>
      </c>
      <c r="AT16" s="202" t="s">
        <v>323</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994</v>
      </c>
      <c r="EP16" s="993"/>
      <c r="EQ16" s="993"/>
      <c r="ER16" s="997">
        <v>3300</v>
      </c>
      <c r="ES16" s="993"/>
      <c r="ET16" s="1137"/>
      <c r="EU16" s="1137"/>
      <c r="EV16" s="1150"/>
      <c r="EW16" s="1150"/>
      <c r="EX16" s="154"/>
      <c r="EY16" s="154"/>
      <c r="EZ16" s="154"/>
    </row>
    <row r="17" spans="1:156" ht="14.25" customHeight="1">
      <c r="A17" s="20" t="s">
        <v>1003</v>
      </c>
      <c r="B17" s="21" t="s">
        <v>399</v>
      </c>
      <c r="C17" s="22" t="s">
        <v>3</v>
      </c>
      <c r="D17" s="23" t="s">
        <v>20</v>
      </c>
      <c r="E17" s="21" t="s">
        <v>20</v>
      </c>
      <c r="F17" s="21">
        <v>31</v>
      </c>
      <c r="G17" s="6" t="s">
        <v>136</v>
      </c>
      <c r="H17" s="24"/>
      <c r="I17" s="181" t="s">
        <v>483</v>
      </c>
      <c r="J17" s="182" t="s">
        <v>479</v>
      </c>
      <c r="K17" s="182" t="s">
        <v>480</v>
      </c>
      <c r="L17" s="182" t="s">
        <v>481</v>
      </c>
      <c r="M17" s="182" t="s">
        <v>486</v>
      </c>
      <c r="N17" s="182" t="s">
        <v>147</v>
      </c>
      <c r="O17" s="180" t="s">
        <v>222</v>
      </c>
      <c r="P17" s="182" t="s">
        <v>467</v>
      </c>
      <c r="Q17" s="182" t="s">
        <v>468</v>
      </c>
      <c r="R17" s="182" t="s">
        <v>469</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482</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1004</v>
      </c>
      <c r="EP17" s="993"/>
      <c r="EQ17" s="993"/>
      <c r="ER17" s="997">
        <v>1000</v>
      </c>
      <c r="ES17" s="993"/>
      <c r="ET17" s="1137"/>
      <c r="EU17" s="1137"/>
      <c r="EV17" s="1150"/>
      <c r="EW17" s="1150"/>
      <c r="EX17" s="154"/>
      <c r="EY17" s="154"/>
      <c r="EZ17" s="154"/>
    </row>
    <row r="18" spans="1:156" ht="14.25" customHeight="1">
      <c r="A18" s="20" t="s">
        <v>1006</v>
      </c>
      <c r="B18" s="21" t="s">
        <v>399</v>
      </c>
      <c r="C18" s="22" t="s">
        <v>3</v>
      </c>
      <c r="D18" s="23" t="s">
        <v>82</v>
      </c>
      <c r="E18" s="21" t="s">
        <v>82</v>
      </c>
      <c r="F18" s="21" t="s">
        <v>137</v>
      </c>
      <c r="G18" s="6" t="s">
        <v>136</v>
      </c>
      <c r="H18" s="24"/>
      <c r="I18" s="181">
        <v>258</v>
      </c>
      <c r="J18" s="182">
        <v>375</v>
      </c>
      <c r="K18" s="182">
        <v>341</v>
      </c>
      <c r="L18" s="182">
        <v>303</v>
      </c>
      <c r="M18" s="182">
        <v>60</v>
      </c>
      <c r="N18" s="182">
        <v>205</v>
      </c>
      <c r="O18" s="182">
        <v>8</v>
      </c>
      <c r="P18" s="182">
        <v>5</v>
      </c>
      <c r="Q18" s="182">
        <v>8</v>
      </c>
      <c r="R18" s="182">
        <v>15</v>
      </c>
      <c r="S18" s="182">
        <v>161</v>
      </c>
      <c r="T18" s="182">
        <v>212</v>
      </c>
      <c r="U18" s="182">
        <v>222</v>
      </c>
      <c r="V18" s="182">
        <v>151</v>
      </c>
      <c r="W18" s="182">
        <v>51</v>
      </c>
      <c r="X18" s="188">
        <v>128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870</v>
      </c>
      <c r="AT18" s="208"/>
      <c r="AU18" s="199"/>
      <c r="AV18" s="208"/>
      <c r="AW18" s="199"/>
      <c r="AX18" s="208"/>
      <c r="AY18" s="128">
        <f t="shared" ref="AY18:BB18" si="19">IF(ISNUMBER(S18),S18," - ")</f>
        <v>161</v>
      </c>
      <c r="AZ18" s="129">
        <f t="shared" si="19"/>
        <v>212</v>
      </c>
      <c r="BA18" s="129">
        <f t="shared" si="19"/>
        <v>222</v>
      </c>
      <c r="BB18" s="129">
        <f t="shared" si="19"/>
        <v>151</v>
      </c>
      <c r="BC18" s="125">
        <f>IF(ISNUMBER(W18),W18," - ")</f>
        <v>51</v>
      </c>
      <c r="BD18" s="126">
        <f>IF(ISNUMBER(BA18/AZ18),BA18/AZ18," - ")</f>
        <v>1.0471698113207548</v>
      </c>
      <c r="BE18" s="127">
        <f>IF(ISNUMBER(BB18/BA18),BB18/BA18, " - ")</f>
        <v>0.68018018018018023</v>
      </c>
      <c r="BF18" s="127">
        <f>IF(ISNUMBER(BC18/BA18),BC18/BA18, " - ")</f>
        <v>0.22972972972972974</v>
      </c>
      <c r="BG18" s="195">
        <f>IF(ISNUMBER((AY18+AZ18)/BA18),(AY18+AZ18)/BA18," - ")</f>
        <v>1.6801801801801801</v>
      </c>
      <c r="BH18" s="154">
        <v>1</v>
      </c>
      <c r="BI18" s="154"/>
      <c r="BJ18" s="199"/>
      <c r="BK18" s="153"/>
      <c r="BL18" s="153"/>
      <c r="BM18" s="153">
        <v>1800</v>
      </c>
      <c r="BN18" s="153"/>
      <c r="BO18" s="153"/>
      <c r="BP18" s="153"/>
      <c r="BQ18" s="153"/>
      <c r="BR18" s="153"/>
      <c r="BS18" s="153"/>
      <c r="BT18" s="153"/>
      <c r="BU18" s="153"/>
      <c r="BV18" s="153"/>
      <c r="BW18" s="153"/>
      <c r="BX18" s="153"/>
      <c r="BY18" s="173" t="s">
        <v>995</v>
      </c>
      <c r="BZ18" s="173" t="s">
        <v>996</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869</v>
      </c>
      <c r="EP18" s="338"/>
      <c r="EQ18" s="338"/>
      <c r="ER18" s="996">
        <v>1600</v>
      </c>
      <c r="ES18" s="338"/>
      <c r="ET18" s="1137"/>
      <c r="EU18" s="1137"/>
      <c r="EV18" s="1150"/>
      <c r="EW18" s="1150"/>
      <c r="EX18" s="154"/>
      <c r="EY18" s="154"/>
      <c r="EZ18" s="154"/>
    </row>
    <row r="19" spans="1:156" ht="14.25" customHeight="1" thickBot="1">
      <c r="A19" s="74" t="s">
        <v>0</v>
      </c>
      <c r="B19" s="75" t="s">
        <v>399</v>
      </c>
      <c r="C19" s="76" t="s">
        <v>4</v>
      </c>
      <c r="D19" s="77"/>
      <c r="E19" s="78"/>
      <c r="F19" s="78"/>
      <c r="G19" s="79"/>
      <c r="H19" s="80"/>
      <c r="I19" s="183">
        <f t="shared" ref="I19:AT19" si="20">SUBTOTAL(9,I14:I18)</f>
        <v>2620</v>
      </c>
      <c r="J19" s="183">
        <f t="shared" si="20"/>
        <v>2996</v>
      </c>
      <c r="K19" s="183">
        <f t="shared" si="20"/>
        <v>2926</v>
      </c>
      <c r="L19" s="183">
        <f t="shared" si="20"/>
        <v>2722</v>
      </c>
      <c r="M19" s="183">
        <f t="shared" si="20"/>
        <v>394</v>
      </c>
      <c r="N19" s="183">
        <f t="shared" si="20"/>
        <v>1793</v>
      </c>
      <c r="O19" s="183">
        <f t="shared" si="20"/>
        <v>165</v>
      </c>
      <c r="P19" s="183">
        <f t="shared" si="20"/>
        <v>94</v>
      </c>
      <c r="Q19" s="183">
        <f t="shared" si="20"/>
        <v>165</v>
      </c>
      <c r="R19" s="183">
        <f t="shared" si="20"/>
        <v>206</v>
      </c>
      <c r="S19" s="183">
        <f t="shared" si="20"/>
        <v>2335</v>
      </c>
      <c r="T19" s="183">
        <f t="shared" si="20"/>
        <v>2756</v>
      </c>
      <c r="U19" s="183">
        <f t="shared" si="20"/>
        <v>2783</v>
      </c>
      <c r="V19" s="183">
        <f t="shared" si="20"/>
        <v>2336</v>
      </c>
      <c r="W19" s="183">
        <f t="shared" si="20"/>
        <v>408</v>
      </c>
      <c r="X19" s="183">
        <f t="shared" si="20"/>
        <v>1770</v>
      </c>
      <c r="Y19" s="183">
        <f t="shared" si="20"/>
        <v>0</v>
      </c>
      <c r="Z19" s="183">
        <f t="shared" si="20"/>
        <v>0</v>
      </c>
      <c r="AA19" s="183">
        <f t="shared" si="20"/>
        <v>0</v>
      </c>
      <c r="AB19" s="183">
        <f t="shared" si="20"/>
        <v>0</v>
      </c>
      <c r="AC19" s="183">
        <f t="shared" si="20"/>
        <v>8</v>
      </c>
      <c r="AD19" s="183">
        <f t="shared" si="20"/>
        <v>116</v>
      </c>
      <c r="AE19" s="183">
        <f t="shared" si="20"/>
        <v>113</v>
      </c>
      <c r="AF19" s="183">
        <f t="shared" si="20"/>
        <v>11</v>
      </c>
      <c r="AG19" s="183">
        <f t="shared" si="20"/>
        <v>0</v>
      </c>
      <c r="AH19" s="183">
        <f t="shared" si="20"/>
        <v>0</v>
      </c>
      <c r="AI19" s="183">
        <f t="shared" si="20"/>
        <v>0</v>
      </c>
      <c r="AJ19" s="183">
        <f t="shared" si="20"/>
        <v>0</v>
      </c>
      <c r="AK19" s="183">
        <f t="shared" si="20"/>
        <v>6</v>
      </c>
      <c r="AL19" s="183">
        <f t="shared" si="20"/>
        <v>152</v>
      </c>
      <c r="AM19" s="183">
        <f t="shared" si="20"/>
        <v>149</v>
      </c>
      <c r="AN19" s="183">
        <f t="shared" si="20"/>
        <v>9</v>
      </c>
      <c r="AO19" s="183">
        <f t="shared" si="20"/>
        <v>6</v>
      </c>
      <c r="AP19" s="183">
        <f t="shared" si="20"/>
        <v>6</v>
      </c>
      <c r="AQ19" s="183">
        <f t="shared" si="20"/>
        <v>6</v>
      </c>
      <c r="AR19" s="183">
        <f t="shared" si="20"/>
        <v>6</v>
      </c>
      <c r="AS19" s="183">
        <f t="shared" si="20"/>
        <v>0</v>
      </c>
      <c r="AT19" s="183">
        <f t="shared" si="20"/>
        <v>0</v>
      </c>
      <c r="AU19" s="203"/>
      <c r="AV19" s="132"/>
      <c r="AW19" s="203"/>
      <c r="AX19" s="132"/>
      <c r="AY19" s="183">
        <f>SUBTOTAL(9,AY14:AY18)</f>
        <v>2335</v>
      </c>
      <c r="AZ19" s="183">
        <f>SUBTOTAL(9,AZ14:AZ18)</f>
        <v>2756</v>
      </c>
      <c r="BA19" s="183">
        <f>SUBTOTAL(9,BA14:BA18)</f>
        <v>2783</v>
      </c>
      <c r="BB19" s="183">
        <f>SUBTOTAL(9,BB14:BB18)</f>
        <v>2336</v>
      </c>
      <c r="BC19" s="183">
        <f>SUBTOTAL(9,BC14:BC18)</f>
        <v>408</v>
      </c>
      <c r="BD19" s="204">
        <f>IF(ISNUMBER(BA19/AZ19),BA19/AZ19," - ")</f>
        <v>1.0097968069666183</v>
      </c>
      <c r="BE19" s="205">
        <f>IF(ISNUMBER(BB19/BA19),BB19/BA19, " - ")</f>
        <v>0.83938196191160619</v>
      </c>
      <c r="BF19" s="205">
        <f>IF(ISNUMBER(BC19/BA19),BC19/BA19, " - ")</f>
        <v>0.14660438375853396</v>
      </c>
      <c r="BG19" s="206">
        <f>IF(ISNUMBER((AY19+AZ19)/BA19),(AY19+AZ19)/BA19," - ")</f>
        <v>1.8293208767517068</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8743</v>
      </c>
      <c r="J20" s="134">
        <f t="shared" si="23"/>
        <v>6064</v>
      </c>
      <c r="K20" s="134">
        <f t="shared" si="23"/>
        <v>6501</v>
      </c>
      <c r="L20" s="134">
        <f t="shared" si="23"/>
        <v>8403</v>
      </c>
      <c r="M20" s="134">
        <f t="shared" si="23"/>
        <v>1449</v>
      </c>
      <c r="N20" s="134">
        <f t="shared" si="23"/>
        <v>3472</v>
      </c>
      <c r="O20" s="134">
        <f t="shared" si="23"/>
        <v>1662</v>
      </c>
      <c r="P20" s="134">
        <f t="shared" si="23"/>
        <v>972</v>
      </c>
      <c r="Q20" s="134">
        <f t="shared" si="23"/>
        <v>1309</v>
      </c>
      <c r="R20" s="134">
        <f t="shared" si="23"/>
        <v>11008</v>
      </c>
      <c r="S20" s="134">
        <f t="shared" si="23"/>
        <v>10895</v>
      </c>
      <c r="T20" s="134">
        <f t="shared" si="23"/>
        <v>5389</v>
      </c>
      <c r="U20" s="134">
        <f t="shared" si="23"/>
        <v>6447</v>
      </c>
      <c r="V20" s="134">
        <f t="shared" si="23"/>
        <v>9990</v>
      </c>
      <c r="W20" s="134">
        <f t="shared" si="23"/>
        <v>1562</v>
      </c>
      <c r="X20" s="134">
        <f t="shared" si="23"/>
        <v>3397</v>
      </c>
      <c r="Y20" s="134">
        <f t="shared" si="23"/>
        <v>214</v>
      </c>
      <c r="Z20" s="134">
        <f t="shared" si="23"/>
        <v>262</v>
      </c>
      <c r="AA20" s="134">
        <f t="shared" si="23"/>
        <v>208</v>
      </c>
      <c r="AB20" s="134">
        <f t="shared" si="23"/>
        <v>268</v>
      </c>
      <c r="AC20" s="134">
        <f t="shared" si="23"/>
        <v>8</v>
      </c>
      <c r="AD20" s="134">
        <f t="shared" si="23"/>
        <v>116</v>
      </c>
      <c r="AE20" s="134">
        <f t="shared" si="23"/>
        <v>113</v>
      </c>
      <c r="AF20" s="134">
        <f t="shared" si="23"/>
        <v>11</v>
      </c>
      <c r="AG20" s="134">
        <f t="shared" si="23"/>
        <v>77</v>
      </c>
      <c r="AH20" s="134">
        <f t="shared" si="23"/>
        <v>234</v>
      </c>
      <c r="AI20" s="134">
        <f t="shared" si="23"/>
        <v>205</v>
      </c>
      <c r="AJ20" s="134">
        <f t="shared" si="23"/>
        <v>158</v>
      </c>
      <c r="AK20" s="134">
        <f t="shared" si="23"/>
        <v>6</v>
      </c>
      <c r="AL20" s="134">
        <f t="shared" si="23"/>
        <v>152</v>
      </c>
      <c r="AM20" s="134">
        <f t="shared" si="23"/>
        <v>149</v>
      </c>
      <c r="AN20" s="209">
        <f t="shared" si="23"/>
        <v>9</v>
      </c>
      <c r="AO20" s="210">
        <v>14</v>
      </c>
      <c r="AP20" s="210">
        <v>14</v>
      </c>
      <c r="AQ20" s="210">
        <v>14</v>
      </c>
      <c r="AR20" s="210">
        <v>14</v>
      </c>
      <c r="AS20" s="152">
        <f t="shared" si="23"/>
        <v>0</v>
      </c>
      <c r="AT20" s="152">
        <f t="shared" si="23"/>
        <v>0</v>
      </c>
      <c r="AU20" s="210"/>
      <c r="AV20" s="211"/>
      <c r="AW20" s="210"/>
      <c r="AX20" s="211"/>
      <c r="AY20" s="133">
        <f>SUBTOTAL(9,AY9:AY19)</f>
        <v>10972</v>
      </c>
      <c r="AZ20" s="134">
        <f>SUBTOTAL(9,AZ9:AZ19)</f>
        <v>5623</v>
      </c>
      <c r="BA20" s="134">
        <f>SUBTOTAL(9,BA9:BA19)</f>
        <v>6652</v>
      </c>
      <c r="BB20" s="134">
        <f>SUBTOTAL(9,BB9:BB19)</f>
        <v>10148</v>
      </c>
      <c r="BC20" s="135">
        <f>SUBTOTAL(9,BC9:BC19)</f>
        <v>2039</v>
      </c>
      <c r="BD20" s="212">
        <f>IF(ISNUMBER(BA20/AZ20),BA20/AZ20," - ")</f>
        <v>1.1829983994309088</v>
      </c>
      <c r="BE20" s="209">
        <f>IF(ISNUMBER(BB20/BA20),BB20/BA20, " - ")</f>
        <v>1.5255562236921227</v>
      </c>
      <c r="BF20" s="209">
        <f>IF(ISNUMBER(BC20/BA20),BC20/BA20, " - ")</f>
        <v>0.30652435357787133</v>
      </c>
      <c r="BG20" s="135">
        <f>IF(ISNUMBER((AY20+AZ20)/BA20),(AY20+AZ20)/BA20," - ")</f>
        <v>2.4947384245339745</v>
      </c>
      <c r="BH20" s="210">
        <f>SUBTOTAL(9,BH9:BH19)</f>
        <v>15</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RO3PlopDahbUofK9IIfBRM0x+lLb+LEWnZQGg/OVG5FTF7RFhB7R+IMjjMOeXsniMfL7dqk6mjC8FLDhBbeew==" saltValue="9UfWYvGqV75q8HmTiMFoa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405</v>
      </c>
    </row>
    <row r="2" spans="1:156">
      <c r="A2">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270</v>
      </c>
      <c r="CF4" s="1469"/>
      <c r="CG4" s="1469"/>
      <c r="CH4" s="1470"/>
    </row>
    <row r="5" spans="1:156" ht="12.75" customHeight="1" thickBot="1">
      <c r="A5" s="1438" t="str">
        <f>"Año:  " &amp;Criterios!B5 &amp; "                  Trimestre   " &amp;Criterios!D5 &amp; " al " &amp;Criterios!D6</f>
        <v>Año:  2026                  Trimestre   2 al 2</v>
      </c>
      <c r="B5" s="1440" t="s">
        <v>396</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151</v>
      </c>
      <c r="AT5" s="1424" t="s">
        <v>152</v>
      </c>
      <c r="AU5" s="1424" t="s">
        <v>235</v>
      </c>
      <c r="AV5" s="1424" t="s">
        <v>233</v>
      </c>
      <c r="AW5" s="1424" t="s">
        <v>236</v>
      </c>
      <c r="AX5" s="1424" t="s">
        <v>234</v>
      </c>
      <c r="AY5" s="1432" t="s">
        <v>108</v>
      </c>
      <c r="AZ5" s="1433"/>
      <c r="BA5" s="1433"/>
      <c r="BB5" s="1433"/>
      <c r="BC5" s="1434"/>
      <c r="BD5" s="1432" t="s">
        <v>109</v>
      </c>
      <c r="BE5" s="1474"/>
      <c r="BF5" s="1474"/>
      <c r="BG5" s="1475"/>
      <c r="BH5" s="1421" t="s">
        <v>144</v>
      </c>
      <c r="BI5" s="1421" t="s">
        <v>145</v>
      </c>
      <c r="BJ5" s="1429" t="s">
        <v>208</v>
      </c>
      <c r="BK5" s="1482" t="s">
        <v>211</v>
      </c>
      <c r="BL5" s="1482" t="s">
        <v>218</v>
      </c>
      <c r="BM5" s="1426" t="s">
        <v>384</v>
      </c>
      <c r="BN5" s="1330"/>
      <c r="BO5" s="1331"/>
      <c r="BP5" s="1330"/>
      <c r="BQ5" s="1331"/>
      <c r="BR5" s="1330"/>
      <c r="BS5" s="1331"/>
      <c r="BT5" s="1330"/>
      <c r="BU5" s="1331"/>
      <c r="BV5" s="1479" t="s">
        <v>269</v>
      </c>
      <c r="BW5" s="1513" t="s">
        <v>249</v>
      </c>
      <c r="BX5" s="1513" t="s">
        <v>250</v>
      </c>
      <c r="BY5" s="1471" t="s">
        <v>256</v>
      </c>
      <c r="BZ5" s="1471" t="s">
        <v>346</v>
      </c>
      <c r="CA5" s="1399" t="s">
        <v>285</v>
      </c>
      <c r="CB5" s="1399" t="s">
        <v>276</v>
      </c>
      <c r="CC5" s="1399" t="s">
        <v>277</v>
      </c>
      <c r="CD5" s="1399" t="s">
        <v>278</v>
      </c>
      <c r="CE5" s="1411" t="s">
        <v>289</v>
      </c>
      <c r="CF5" s="1411" t="s">
        <v>268</v>
      </c>
      <c r="CG5" s="1411" t="s">
        <v>266</v>
      </c>
      <c r="CH5" s="1411" t="s">
        <v>267</v>
      </c>
      <c r="CI5" s="1393" t="s">
        <v>291</v>
      </c>
      <c r="CJ5" s="1393" t="s">
        <v>292</v>
      </c>
      <c r="CK5" s="1396" t="s">
        <v>453</v>
      </c>
      <c r="CL5" s="1396" t="s">
        <v>454</v>
      </c>
      <c r="CM5" s="1396" t="s">
        <v>455</v>
      </c>
      <c r="CN5" s="1412" t="s">
        <v>367</v>
      </c>
      <c r="CO5" s="1412" t="s">
        <v>360</v>
      </c>
      <c r="CP5" s="1412" t="s">
        <v>366</v>
      </c>
      <c r="CQ5" s="1415" t="s">
        <v>365</v>
      </c>
      <c r="CR5" s="1415" t="s">
        <v>42</v>
      </c>
      <c r="CS5" s="1411" t="s">
        <v>385</v>
      </c>
      <c r="CT5" s="1411" t="s">
        <v>388</v>
      </c>
      <c r="CU5" s="1411" t="s">
        <v>226</v>
      </c>
      <c r="CV5" s="1411" t="s">
        <v>310</v>
      </c>
      <c r="CW5" s="1411" t="s">
        <v>330</v>
      </c>
      <c r="CX5" s="1411" t="s">
        <v>337</v>
      </c>
      <c r="CY5" s="1411" t="s">
        <v>433</v>
      </c>
      <c r="CZ5" s="1411" t="s">
        <v>434</v>
      </c>
      <c r="DA5" s="1411" t="s">
        <v>435</v>
      </c>
      <c r="DB5" s="1408" t="s">
        <v>192</v>
      </c>
      <c r="DC5" s="1408" t="s">
        <v>193</v>
      </c>
      <c r="DD5" s="1408" t="s">
        <v>194</v>
      </c>
      <c r="DE5" s="1418" t="s">
        <v>165</v>
      </c>
      <c r="DF5" s="1418" t="s">
        <v>404</v>
      </c>
      <c r="DG5" s="1411" t="s">
        <v>441</v>
      </c>
      <c r="DH5" s="1396" t="s">
        <v>422</v>
      </c>
      <c r="DI5" s="1396" t="s">
        <v>423</v>
      </c>
      <c r="DJ5" s="1396" t="s">
        <v>439</v>
      </c>
      <c r="DK5" s="1396" t="s">
        <v>473</v>
      </c>
      <c r="DL5" s="1396" t="s">
        <v>476</v>
      </c>
      <c r="DM5" s="1488" t="s">
        <v>517</v>
      </c>
      <c r="DN5" s="1488" t="s">
        <v>518</v>
      </c>
      <c r="DO5" s="1488" t="s">
        <v>519</v>
      </c>
      <c r="DP5" s="1488" t="s">
        <v>520</v>
      </c>
      <c r="DQ5" s="1488" t="s">
        <v>521</v>
      </c>
      <c r="DR5" s="1488" t="s">
        <v>522</v>
      </c>
      <c r="DS5" s="1488" t="s">
        <v>523</v>
      </c>
      <c r="DT5" s="1488" t="s">
        <v>524</v>
      </c>
      <c r="DU5" s="1489" t="s">
        <v>525</v>
      </c>
      <c r="DV5" s="1489" t="s">
        <v>526</v>
      </c>
      <c r="DW5" s="1498" t="s">
        <v>527</v>
      </c>
      <c r="DX5" s="1488" t="s">
        <v>528</v>
      </c>
      <c r="DY5" s="1495" t="s">
        <v>529</v>
      </c>
      <c r="DZ5" s="1498" t="s">
        <v>530</v>
      </c>
      <c r="EA5" s="1495" t="s">
        <v>531</v>
      </c>
      <c r="EB5" s="1492" t="s">
        <v>575</v>
      </c>
      <c r="EC5" s="1492" t="s">
        <v>607</v>
      </c>
      <c r="ED5" s="1492" t="s">
        <v>577</v>
      </c>
      <c r="EE5" s="1492" t="s">
        <v>610</v>
      </c>
      <c r="EF5" s="1492" t="s">
        <v>611</v>
      </c>
      <c r="EG5" s="1495" t="s">
        <v>612</v>
      </c>
      <c r="EH5" s="1495" t="s">
        <v>613</v>
      </c>
      <c r="EI5" s="1495" t="s">
        <v>579</v>
      </c>
      <c r="EJ5" s="1495" t="s">
        <v>580</v>
      </c>
      <c r="EK5" s="1516" t="s">
        <v>657</v>
      </c>
      <c r="EL5" s="1507" t="s">
        <v>673</v>
      </c>
      <c r="EM5" s="1508"/>
      <c r="EN5" s="1509"/>
      <c r="EO5" s="1408" t="s">
        <v>725</v>
      </c>
      <c r="EP5" s="1408" t="s">
        <v>727</v>
      </c>
      <c r="EQ5" s="1408" t="s">
        <v>728</v>
      </c>
      <c r="ER5" s="1408" t="s">
        <v>733</v>
      </c>
      <c r="ES5" s="1408" t="s">
        <v>738</v>
      </c>
      <c r="ET5" s="1501" t="s">
        <v>770</v>
      </c>
      <c r="EU5" s="1501" t="s">
        <v>771</v>
      </c>
      <c r="EV5" s="1411" t="s">
        <v>786</v>
      </c>
      <c r="EW5" s="1495" t="s">
        <v>789</v>
      </c>
      <c r="EX5" s="1402" t="s">
        <v>802</v>
      </c>
      <c r="EY5" s="1390" t="s">
        <v>807</v>
      </c>
      <c r="EZ5" s="1387" t="s">
        <v>848</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724</v>
      </c>
      <c r="B7" s="1442"/>
      <c r="C7" s="1445"/>
      <c r="D7" s="66" t="s">
        <v>397</v>
      </c>
      <c r="E7" s="67" t="s">
        <v>128</v>
      </c>
      <c r="F7" s="67" t="s">
        <v>127</v>
      </c>
      <c r="G7" s="121" t="s">
        <v>35</v>
      </c>
      <c r="H7" s="122" t="s">
        <v>398</v>
      </c>
      <c r="I7" s="9" t="s">
        <v>372</v>
      </c>
      <c r="J7" s="10" t="s">
        <v>13</v>
      </c>
      <c r="K7" s="10" t="s">
        <v>9</v>
      </c>
      <c r="L7" s="11" t="s">
        <v>19</v>
      </c>
      <c r="M7" s="9" t="s">
        <v>7</v>
      </c>
      <c r="N7" s="10" t="s">
        <v>8</v>
      </c>
      <c r="O7" s="158" t="s">
        <v>220</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674</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399</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155</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137</v>
      </c>
      <c r="BB8" s="50" t="s">
        <v>146</v>
      </c>
      <c r="BC8" s="50" t="s">
        <v>214</v>
      </c>
      <c r="BD8" s="50" t="s">
        <v>150</v>
      </c>
      <c r="BE8" s="50" t="s">
        <v>153</v>
      </c>
      <c r="BF8" s="50" t="s">
        <v>154</v>
      </c>
      <c r="BG8" s="50" t="s">
        <v>209</v>
      </c>
      <c r="BH8" s="50" t="s">
        <v>210</v>
      </c>
      <c r="BI8" s="50" t="s">
        <v>217</v>
      </c>
      <c r="BJ8" s="50" t="s">
        <v>228</v>
      </c>
      <c r="BK8" s="50" t="s">
        <v>231</v>
      </c>
      <c r="BL8" s="50" t="s">
        <v>232</v>
      </c>
      <c r="BM8" s="50"/>
      <c r="BN8" s="50"/>
      <c r="BO8" s="50"/>
      <c r="BP8" s="50"/>
      <c r="BQ8" s="50"/>
      <c r="BR8" s="50"/>
      <c r="BS8" s="50"/>
      <c r="BT8" s="50"/>
      <c r="BU8" s="50"/>
      <c r="BV8" s="50" t="s">
        <v>280</v>
      </c>
      <c r="BW8" s="50" t="s">
        <v>281</v>
      </c>
      <c r="BX8" s="50" t="s">
        <v>286</v>
      </c>
      <c r="BY8" s="50" t="s">
        <v>288</v>
      </c>
      <c r="BZ8" s="50" t="s">
        <v>293</v>
      </c>
      <c r="CA8" s="50" t="s">
        <v>294</v>
      </c>
      <c r="CB8" s="50" t="s">
        <v>347</v>
      </c>
      <c r="CC8" s="50" t="s">
        <v>349</v>
      </c>
      <c r="CD8" s="50" t="s">
        <v>351</v>
      </c>
      <c r="CE8" s="50" t="s">
        <v>361</v>
      </c>
      <c r="CF8" s="50" t="s">
        <v>362</v>
      </c>
      <c r="CG8" s="50" t="s">
        <v>363</v>
      </c>
      <c r="CH8" s="50" t="s">
        <v>364</v>
      </c>
      <c r="CI8" s="50" t="s">
        <v>387</v>
      </c>
      <c r="CJ8" s="50" t="s">
        <v>389</v>
      </c>
      <c r="CK8" s="50" t="s">
        <v>227</v>
      </c>
      <c r="CL8" s="50" t="s">
        <v>313</v>
      </c>
      <c r="CM8" s="50" t="s">
        <v>316</v>
      </c>
      <c r="CN8" s="50"/>
      <c r="CO8" s="50"/>
      <c r="CP8" s="50"/>
      <c r="CQ8" s="50" t="s">
        <v>342</v>
      </c>
      <c r="CR8" s="50" t="s">
        <v>343</v>
      </c>
      <c r="CS8" s="50" t="s">
        <v>164</v>
      </c>
      <c r="CT8" s="50" t="s">
        <v>183</v>
      </c>
      <c r="CU8" s="50" t="s">
        <v>184</v>
      </c>
      <c r="CV8" s="50" t="s">
        <v>185</v>
      </c>
      <c r="CW8" s="50" t="s">
        <v>186</v>
      </c>
      <c r="CX8" s="50" t="s">
        <v>187</v>
      </c>
      <c r="CY8" s="50" t="s">
        <v>188</v>
      </c>
      <c r="CZ8" s="50" t="s">
        <v>189</v>
      </c>
      <c r="DA8" s="50" t="s">
        <v>190</v>
      </c>
      <c r="DB8" s="50" t="s">
        <v>191</v>
      </c>
      <c r="DC8" s="50" t="s">
        <v>195</v>
      </c>
      <c r="DD8" s="50" t="s">
        <v>196</v>
      </c>
      <c r="DE8" s="50" t="s">
        <v>405</v>
      </c>
      <c r="DF8" s="50" t="s">
        <v>43</v>
      </c>
      <c r="DG8" s="50">
        <v>111</v>
      </c>
      <c r="DH8" s="50" t="s">
        <v>450</v>
      </c>
      <c r="DI8" s="50" t="s">
        <v>451</v>
      </c>
      <c r="DJ8" s="469" t="s">
        <v>452</v>
      </c>
      <c r="DK8" s="469" t="s">
        <v>474</v>
      </c>
      <c r="DL8" s="469" t="s">
        <v>475</v>
      </c>
      <c r="DM8" s="469" t="s">
        <v>532</v>
      </c>
      <c r="DN8" s="469" t="s">
        <v>533</v>
      </c>
      <c r="DO8" s="469" t="s">
        <v>534</v>
      </c>
      <c r="DP8" s="469" t="s">
        <v>535</v>
      </c>
      <c r="DQ8" s="469" t="s">
        <v>536</v>
      </c>
      <c r="DR8" s="469" t="s">
        <v>537</v>
      </c>
      <c r="DS8" s="469" t="s">
        <v>538</v>
      </c>
      <c r="DT8" s="469" t="s">
        <v>539</v>
      </c>
      <c r="DU8" s="469" t="s">
        <v>540</v>
      </c>
      <c r="DV8" s="469" t="s">
        <v>541</v>
      </c>
      <c r="DW8" s="469" t="s">
        <v>542</v>
      </c>
      <c r="DX8" s="469" t="s">
        <v>543</v>
      </c>
      <c r="DY8" s="469" t="s">
        <v>544</v>
      </c>
      <c r="DZ8" s="469" t="s">
        <v>545</v>
      </c>
      <c r="EA8" s="469" t="s">
        <v>546</v>
      </c>
      <c r="EB8" s="469" t="s">
        <v>587</v>
      </c>
      <c r="EC8" s="469" t="s">
        <v>588</v>
      </c>
      <c r="ED8" s="469" t="s">
        <v>589</v>
      </c>
      <c r="EE8" s="469" t="s">
        <v>590</v>
      </c>
      <c r="EF8" s="469" t="s">
        <v>591</v>
      </c>
      <c r="EG8" s="469" t="s">
        <v>592</v>
      </c>
      <c r="EH8" s="469" t="s">
        <v>593</v>
      </c>
      <c r="EI8" s="469" t="s">
        <v>594</v>
      </c>
      <c r="EJ8" s="469" t="s">
        <v>595</v>
      </c>
      <c r="EK8" s="469" t="s">
        <v>658</v>
      </c>
      <c r="EL8" s="469" t="s">
        <v>675</v>
      </c>
      <c r="EM8" s="469" t="s">
        <v>676</v>
      </c>
      <c r="EN8" s="469" t="s">
        <v>677</v>
      </c>
      <c r="EO8" s="50" t="s">
        <v>726</v>
      </c>
      <c r="EP8" s="50" t="s">
        <v>731</v>
      </c>
      <c r="EQ8" s="50" t="s">
        <v>732</v>
      </c>
      <c r="ER8" s="469">
        <v>148</v>
      </c>
      <c r="ES8" s="469" t="s">
        <v>739</v>
      </c>
      <c r="ET8" s="1136" t="s">
        <v>772</v>
      </c>
      <c r="EU8" s="1136" t="s">
        <v>773</v>
      </c>
      <c r="EV8" s="1136" t="s">
        <v>780</v>
      </c>
      <c r="EW8" s="469" t="s">
        <v>788</v>
      </c>
      <c r="EX8" s="469" t="s">
        <v>801</v>
      </c>
      <c r="EY8" s="469" t="s">
        <v>806</v>
      </c>
      <c r="EZ8" s="469" t="s">
        <v>849</v>
      </c>
    </row>
    <row r="9" spans="1:156" ht="14.25" customHeight="1">
      <c r="A9" s="20" t="s">
        <v>1001</v>
      </c>
      <c r="B9" s="21" t="s">
        <v>399</v>
      </c>
      <c r="C9" s="22" t="s">
        <v>3</v>
      </c>
      <c r="D9" s="23" t="s">
        <v>20</v>
      </c>
      <c r="E9" s="21" t="s">
        <v>21</v>
      </c>
      <c r="F9" s="21">
        <v>32</v>
      </c>
      <c r="G9" s="6"/>
      <c r="H9" s="136" t="s">
        <v>242</v>
      </c>
      <c r="I9" s="1174" t="s">
        <v>833</v>
      </c>
      <c r="J9" s="1173" t="s">
        <v>834</v>
      </c>
      <c r="K9" s="1173" t="s">
        <v>835</v>
      </c>
      <c r="L9" s="1173" t="s">
        <v>836</v>
      </c>
      <c r="M9" s="57" t="s">
        <v>805</v>
      </c>
      <c r="N9" s="57" t="s">
        <v>808</v>
      </c>
      <c r="O9" s="57" t="s">
        <v>320</v>
      </c>
      <c r="P9" s="57" t="s">
        <v>368</v>
      </c>
      <c r="Q9" s="57" t="s">
        <v>369</v>
      </c>
      <c r="R9" s="57" t="s">
        <v>370</v>
      </c>
      <c r="S9" s="57"/>
      <c r="T9" s="57"/>
      <c r="U9" s="57"/>
      <c r="V9" s="57"/>
      <c r="W9" s="57"/>
      <c r="X9" s="61"/>
      <c r="Y9" s="1177" t="s">
        <v>830</v>
      </c>
      <c r="Z9" s="1173" t="s">
        <v>829</v>
      </c>
      <c r="AA9" s="1173" t="s">
        <v>831</v>
      </c>
      <c r="AB9" s="1173" t="s">
        <v>832</v>
      </c>
      <c r="AC9" s="57"/>
      <c r="AD9" s="57"/>
      <c r="AE9" s="57"/>
      <c r="AF9" s="61"/>
      <c r="AG9" s="62"/>
      <c r="AH9" s="57"/>
      <c r="AI9" s="57"/>
      <c r="AJ9" s="63"/>
      <c r="AK9" s="58"/>
      <c r="AL9" s="57"/>
      <c r="AM9" s="57"/>
      <c r="AN9" s="61"/>
      <c r="AO9" s="64"/>
      <c r="AP9" s="64"/>
      <c r="AQ9" s="64"/>
      <c r="AR9" s="60"/>
      <c r="AS9" s="316" t="s">
        <v>813</v>
      </c>
      <c r="AT9" s="194"/>
      <c r="AU9" s="316" t="s">
        <v>762</v>
      </c>
      <c r="AV9" s="194"/>
      <c r="AW9" s="316" t="s">
        <v>764</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494</v>
      </c>
      <c r="BW9" s="155" t="s">
        <v>300</v>
      </c>
      <c r="BX9" s="155" t="s">
        <v>301</v>
      </c>
      <c r="BY9" s="155" t="s">
        <v>1010</v>
      </c>
      <c r="BZ9" s="155" t="s">
        <v>866</v>
      </c>
      <c r="CA9" s="155" t="s">
        <v>409</v>
      </c>
      <c r="CB9" s="155" t="s">
        <v>410</v>
      </c>
      <c r="CC9" s="155" t="s">
        <v>411</v>
      </c>
      <c r="CD9" s="155" t="s">
        <v>412</v>
      </c>
      <c r="CE9" s="155"/>
      <c r="CF9" s="155"/>
      <c r="CG9" s="155"/>
      <c r="CH9" s="155"/>
      <c r="CI9" s="155" t="s">
        <v>500</v>
      </c>
      <c r="CJ9" s="155" t="s">
        <v>413</v>
      </c>
      <c r="CK9" s="155" t="s">
        <v>488</v>
      </c>
      <c r="CL9" s="155" t="s">
        <v>490</v>
      </c>
      <c r="CM9" s="155" t="s">
        <v>492</v>
      </c>
      <c r="CN9" s="155">
        <v>1088</v>
      </c>
      <c r="CO9" s="155">
        <v>720</v>
      </c>
      <c r="CP9" s="155">
        <v>1088</v>
      </c>
      <c r="CQ9" s="288" t="s">
        <v>842</v>
      </c>
      <c r="CR9" s="288" t="s">
        <v>867</v>
      </c>
      <c r="CS9" s="155"/>
      <c r="CT9" s="155"/>
      <c r="CU9" s="155"/>
      <c r="CV9" s="155" t="s">
        <v>499</v>
      </c>
      <c r="CW9" s="155" t="s">
        <v>408</v>
      </c>
      <c r="CX9" s="155" t="s">
        <v>340</v>
      </c>
      <c r="CY9" s="155" t="s">
        <v>436</v>
      </c>
      <c r="CZ9" s="155" t="s">
        <v>437</v>
      </c>
      <c r="DA9" s="155" t="s">
        <v>438</v>
      </c>
      <c r="DB9" s="316" t="s">
        <v>814</v>
      </c>
      <c r="DC9" s="316" t="s">
        <v>815</v>
      </c>
      <c r="DD9" s="155"/>
      <c r="DE9" s="155" t="s">
        <v>238</v>
      </c>
      <c r="DF9" s="155"/>
      <c r="DG9" s="155" t="s">
        <v>442</v>
      </c>
      <c r="DH9" s="155" t="s">
        <v>496</v>
      </c>
      <c r="DI9" s="155" t="s">
        <v>497</v>
      </c>
      <c r="DJ9" s="155" t="s">
        <v>498</v>
      </c>
      <c r="DK9" s="155"/>
      <c r="DL9" s="155"/>
      <c r="DM9" s="155"/>
      <c r="DN9" s="155"/>
      <c r="DO9" s="155"/>
      <c r="DP9" s="155"/>
      <c r="DQ9" s="155"/>
      <c r="DR9" s="155"/>
      <c r="DS9" s="155"/>
      <c r="DT9" s="155"/>
      <c r="DU9" s="155" t="s">
        <v>664</v>
      </c>
      <c r="DV9" s="155" t="s">
        <v>659</v>
      </c>
      <c r="DW9" s="155" t="s">
        <v>660</v>
      </c>
      <c r="DX9" s="155" t="s">
        <v>661</v>
      </c>
      <c r="DY9" s="155" t="s">
        <v>662</v>
      </c>
      <c r="DZ9" s="155"/>
      <c r="EA9" s="155"/>
      <c r="EB9" s="155"/>
      <c r="EC9" s="155"/>
      <c r="ED9" s="155"/>
      <c r="EE9" s="155"/>
      <c r="EF9" s="155"/>
      <c r="EG9" s="155"/>
      <c r="EH9" s="155"/>
      <c r="EI9" s="155"/>
      <c r="EJ9" s="155"/>
      <c r="EK9" s="155"/>
      <c r="EL9" s="288" t="s">
        <v>755</v>
      </c>
      <c r="EM9" s="288" t="s">
        <v>756</v>
      </c>
      <c r="EN9" s="155" t="s">
        <v>754</v>
      </c>
      <c r="EO9" s="984" t="s">
        <v>816</v>
      </c>
      <c r="EP9" s="984" t="s">
        <v>821</v>
      </c>
      <c r="EQ9" s="984" t="s">
        <v>823</v>
      </c>
      <c r="ER9" s="995">
        <v>1200</v>
      </c>
      <c r="ES9" s="992"/>
      <c r="ET9" s="1137"/>
      <c r="EU9" s="1137"/>
      <c r="EV9" s="155" t="s">
        <v>783</v>
      </c>
      <c r="EW9" s="155"/>
      <c r="EX9" s="155"/>
      <c r="EY9" s="155"/>
      <c r="EZ9" s="155"/>
    </row>
    <row r="10" spans="1:156" ht="14.25" customHeight="1">
      <c r="A10" s="20" t="s">
        <v>1006</v>
      </c>
      <c r="B10" s="21" t="s">
        <v>399</v>
      </c>
      <c r="C10" s="22" t="s">
        <v>3</v>
      </c>
      <c r="D10" s="23" t="s">
        <v>82</v>
      </c>
      <c r="E10" s="21" t="s">
        <v>82</v>
      </c>
      <c r="F10" s="21" t="s">
        <v>137</v>
      </c>
      <c r="G10" s="6"/>
      <c r="H10" s="136"/>
      <c r="I10" s="1175" t="s">
        <v>862</v>
      </c>
      <c r="J10" s="1176" t="s">
        <v>855</v>
      </c>
      <c r="K10" s="1176" t="s">
        <v>858</v>
      </c>
      <c r="L10" s="1176" t="s">
        <v>863</v>
      </c>
      <c r="M10" s="57" t="s">
        <v>507</v>
      </c>
      <c r="N10" s="57" t="s">
        <v>138</v>
      </c>
      <c r="O10" s="57" t="s">
        <v>224</v>
      </c>
      <c r="P10" s="57" t="s">
        <v>139</v>
      </c>
      <c r="Q10" s="57" t="s">
        <v>140</v>
      </c>
      <c r="R10" s="57" t="s">
        <v>141</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740</v>
      </c>
      <c r="AT10" s="63"/>
      <c r="AU10" s="147" t="s">
        <v>741</v>
      </c>
      <c r="AV10" s="63"/>
      <c r="AW10" s="147" t="s">
        <v>742</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307</v>
      </c>
      <c r="BW10" s="153" t="s">
        <v>344</v>
      </c>
      <c r="BX10" s="153" t="s">
        <v>345</v>
      </c>
      <c r="BY10" s="153" t="s">
        <v>853</v>
      </c>
      <c r="BZ10" s="153"/>
      <c r="CA10" s="153"/>
      <c r="CB10" s="153"/>
      <c r="CC10" s="153"/>
      <c r="CD10" s="153"/>
      <c r="CE10" s="153"/>
      <c r="CF10" s="153"/>
      <c r="CG10" s="153"/>
      <c r="CH10" s="153"/>
      <c r="CI10" s="153" t="s">
        <v>502</v>
      </c>
      <c r="CJ10" s="153" t="s">
        <v>297</v>
      </c>
      <c r="CK10" s="153" t="s">
        <v>456</v>
      </c>
      <c r="CL10" s="153" t="s">
        <v>457</v>
      </c>
      <c r="CM10" s="153" t="s">
        <v>458</v>
      </c>
      <c r="CN10" s="153">
        <v>1175</v>
      </c>
      <c r="CO10" s="153">
        <v>0</v>
      </c>
      <c r="CP10" s="288" t="s">
        <v>415</v>
      </c>
      <c r="CQ10" s="153" t="s">
        <v>854</v>
      </c>
      <c r="CR10" s="153"/>
      <c r="CS10" s="153"/>
      <c r="CT10" s="155"/>
      <c r="CU10" s="155"/>
      <c r="CV10" s="155" t="s">
        <v>312</v>
      </c>
      <c r="CW10" s="155" t="s">
        <v>336</v>
      </c>
      <c r="CX10" s="155" t="s">
        <v>339</v>
      </c>
      <c r="CY10" s="155" t="s">
        <v>503</v>
      </c>
      <c r="CZ10" s="155" t="s">
        <v>504</v>
      </c>
      <c r="DA10" s="155" t="s">
        <v>505</v>
      </c>
      <c r="DB10" s="319" t="s">
        <v>855</v>
      </c>
      <c r="DC10" s="318"/>
      <c r="DD10" s="155"/>
      <c r="DE10" s="155" t="s">
        <v>239</v>
      </c>
      <c r="DF10" s="155"/>
      <c r="DG10" s="155" t="s">
        <v>506</v>
      </c>
      <c r="DH10" s="153" t="s">
        <v>429</v>
      </c>
      <c r="DI10" s="153" t="s">
        <v>427</v>
      </c>
      <c r="DJ10" s="153" t="s">
        <v>428</v>
      </c>
      <c r="DK10" s="153"/>
      <c r="DL10" s="153"/>
      <c r="DM10" s="288"/>
      <c r="DN10" s="288"/>
      <c r="DO10" s="288"/>
      <c r="DP10" s="288"/>
      <c r="DQ10" s="288"/>
      <c r="DR10" s="288"/>
      <c r="DS10" s="288"/>
      <c r="DT10" s="288"/>
      <c r="DU10" s="154" t="s">
        <v>597</v>
      </c>
      <c r="DV10" s="288" t="s">
        <v>711</v>
      </c>
      <c r="DW10" s="288" t="s">
        <v>708</v>
      </c>
      <c r="DX10" s="288" t="s">
        <v>709</v>
      </c>
      <c r="DY10" s="288" t="s">
        <v>710</v>
      </c>
      <c r="DZ10" s="288"/>
      <c r="EA10" s="288"/>
      <c r="EB10" s="288"/>
      <c r="EC10" s="288"/>
      <c r="ED10" s="288"/>
      <c r="EE10" s="288"/>
      <c r="EF10" s="288"/>
      <c r="EG10" s="288"/>
      <c r="EH10" s="288"/>
      <c r="EI10" s="288"/>
      <c r="EJ10" s="288"/>
      <c r="EK10" s="288"/>
      <c r="EL10" s="288"/>
      <c r="EM10" s="288"/>
      <c r="EN10" s="288"/>
      <c r="EO10" s="319" t="s">
        <v>746</v>
      </c>
      <c r="EP10" s="319" t="s">
        <v>747</v>
      </c>
      <c r="EQ10" s="319" t="s">
        <v>748</v>
      </c>
      <c r="ER10" s="996">
        <v>1600</v>
      </c>
      <c r="ES10" s="338"/>
      <c r="ET10" s="1137"/>
      <c r="EU10" s="1137"/>
      <c r="EV10" s="155" t="s">
        <v>785</v>
      </c>
      <c r="EW10" s="288"/>
      <c r="EX10" s="288"/>
      <c r="EY10" s="288"/>
      <c r="EZ10" s="288"/>
    </row>
    <row r="11" spans="1:156" ht="14.25" customHeight="1" thickBot="1">
      <c r="A11" s="20" t="s">
        <v>1009</v>
      </c>
      <c r="B11" s="21" t="s">
        <v>399</v>
      </c>
      <c r="C11" s="22" t="s">
        <v>3</v>
      </c>
      <c r="D11" s="23" t="s">
        <v>20</v>
      </c>
      <c r="E11" s="21" t="s">
        <v>51</v>
      </c>
      <c r="F11" s="21">
        <v>32</v>
      </c>
      <c r="G11" s="6"/>
      <c r="H11" s="28" t="s">
        <v>36</v>
      </c>
      <c r="I11" s="1171" t="s">
        <v>837</v>
      </c>
      <c r="J11" s="1172" t="s">
        <v>838</v>
      </c>
      <c r="K11" s="1172" t="s">
        <v>839</v>
      </c>
      <c r="L11" s="1172" t="s">
        <v>840</v>
      </c>
      <c r="M11" s="26" t="s">
        <v>485</v>
      </c>
      <c r="N11" s="26" t="s">
        <v>38</v>
      </c>
      <c r="O11" s="57" t="s">
        <v>221</v>
      </c>
      <c r="P11" s="26" t="s">
        <v>39</v>
      </c>
      <c r="Q11" s="26" t="s">
        <v>40</v>
      </c>
      <c r="R11" s="26" t="s">
        <v>91</v>
      </c>
      <c r="S11" s="26"/>
      <c r="T11" s="26"/>
      <c r="U11" s="26"/>
      <c r="V11" s="26"/>
      <c r="W11" s="26"/>
      <c r="X11" s="52"/>
      <c r="Y11" s="1177" t="s">
        <v>830</v>
      </c>
      <c r="Z11" s="1173" t="s">
        <v>841</v>
      </c>
      <c r="AA11" s="1173" t="s">
        <v>831</v>
      </c>
      <c r="AB11" s="1173" t="s">
        <v>832</v>
      </c>
      <c r="AC11" s="26"/>
      <c r="AD11" s="26"/>
      <c r="AE11" s="26"/>
      <c r="AF11" s="52"/>
      <c r="AG11" s="49"/>
      <c r="AH11" s="26"/>
      <c r="AI11" s="26"/>
      <c r="AJ11" s="27"/>
      <c r="AK11" s="25"/>
      <c r="AL11" s="26"/>
      <c r="AM11" s="26"/>
      <c r="AN11" s="52"/>
      <c r="AO11" s="59"/>
      <c r="AP11" s="59"/>
      <c r="AQ11" s="59"/>
      <c r="AR11" s="64"/>
      <c r="AS11" s="49" t="s">
        <v>761</v>
      </c>
      <c r="AT11" s="27"/>
      <c r="AU11" s="49" t="s">
        <v>763</v>
      </c>
      <c r="AV11" s="27"/>
      <c r="AW11" s="49" t="s">
        <v>765</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493</v>
      </c>
      <c r="BW11" s="155" t="s">
        <v>251</v>
      </c>
      <c r="BX11" s="155" t="s">
        <v>252</v>
      </c>
      <c r="BY11" s="156" t="s">
        <v>820</v>
      </c>
      <c r="BZ11" s="155" t="s">
        <v>846</v>
      </c>
      <c r="CA11" s="155" t="s">
        <v>287</v>
      </c>
      <c r="CB11" s="155" t="s">
        <v>282</v>
      </c>
      <c r="CC11" s="155" t="s">
        <v>283</v>
      </c>
      <c r="CD11" s="155" t="s">
        <v>284</v>
      </c>
      <c r="CE11" s="156"/>
      <c r="CF11" s="156"/>
      <c r="CG11" s="156"/>
      <c r="CH11" s="156"/>
      <c r="CI11" s="156" t="s">
        <v>478</v>
      </c>
      <c r="CJ11" s="156" t="s">
        <v>295</v>
      </c>
      <c r="CK11" s="155" t="s">
        <v>487</v>
      </c>
      <c r="CL11" s="155" t="s">
        <v>489</v>
      </c>
      <c r="CM11" s="155" t="s">
        <v>491</v>
      </c>
      <c r="CN11" s="155">
        <v>1088</v>
      </c>
      <c r="CO11" s="156">
        <v>1000</v>
      </c>
      <c r="CP11" s="155">
        <v>1088</v>
      </c>
      <c r="CQ11" s="155" t="s">
        <v>798</v>
      </c>
      <c r="CR11" s="155" t="s">
        <v>847</v>
      </c>
      <c r="CS11" s="156"/>
      <c r="CT11" s="155"/>
      <c r="CU11" s="155"/>
      <c r="CV11" s="155" t="s">
        <v>499</v>
      </c>
      <c r="CW11" s="155" t="s">
        <v>333</v>
      </c>
      <c r="CX11" s="155" t="s">
        <v>340</v>
      </c>
      <c r="CY11" s="155" t="s">
        <v>436</v>
      </c>
      <c r="CZ11" s="155" t="s">
        <v>437</v>
      </c>
      <c r="DA11" s="155" t="s">
        <v>438</v>
      </c>
      <c r="DB11" s="146" t="s">
        <v>809</v>
      </c>
      <c r="DC11" s="146" t="s">
        <v>810</v>
      </c>
      <c r="DD11" s="155"/>
      <c r="DE11" s="155" t="s">
        <v>240</v>
      </c>
      <c r="DF11" s="155"/>
      <c r="DG11" s="155" t="s">
        <v>442</v>
      </c>
      <c r="DH11" s="155" t="s">
        <v>496</v>
      </c>
      <c r="DI11" s="155" t="s">
        <v>497</v>
      </c>
      <c r="DJ11" s="155" t="s">
        <v>498</v>
      </c>
      <c r="DK11" s="155"/>
      <c r="DL11" s="155"/>
      <c r="DM11" s="288"/>
      <c r="DN11" s="288"/>
      <c r="DO11" s="288"/>
      <c r="DP11" s="288"/>
      <c r="DQ11" s="288"/>
      <c r="DR11" s="288"/>
      <c r="DS11" s="288"/>
      <c r="DT11" s="288"/>
      <c r="DU11" s="288" t="s">
        <v>664</v>
      </c>
      <c r="DV11" s="288" t="s">
        <v>659</v>
      </c>
      <c r="DW11" s="288" t="s">
        <v>660</v>
      </c>
      <c r="DX11" s="288" t="s">
        <v>661</v>
      </c>
      <c r="DY11" s="288" t="s">
        <v>662</v>
      </c>
      <c r="DZ11" s="288"/>
      <c r="EA11" s="288"/>
      <c r="EB11" s="288"/>
      <c r="EC11" s="288"/>
      <c r="ED11" s="288"/>
      <c r="EE11" s="288"/>
      <c r="EF11" s="288"/>
      <c r="EG11" s="288"/>
      <c r="EH11" s="288"/>
      <c r="EI11" s="288"/>
      <c r="EJ11" s="288"/>
      <c r="EK11" s="288"/>
      <c r="EL11" s="288"/>
      <c r="EM11" s="288"/>
      <c r="EN11" s="288"/>
      <c r="EO11" s="983" t="s">
        <v>817</v>
      </c>
      <c r="EP11" s="983" t="s">
        <v>799</v>
      </c>
      <c r="EQ11" s="983" t="s">
        <v>800</v>
      </c>
      <c r="ER11" s="997">
        <v>1323</v>
      </c>
      <c r="ES11" s="993"/>
      <c r="ET11" s="1137"/>
      <c r="EU11" s="1137"/>
      <c r="EV11" s="155" t="s">
        <v>782</v>
      </c>
      <c r="EW11" s="288"/>
      <c r="EX11" s="288"/>
      <c r="EY11" s="288"/>
      <c r="EZ11" s="288"/>
    </row>
    <row r="12" spans="1:156" ht="14.25" customHeight="1">
      <c r="A12" s="20" t="s">
        <v>1008</v>
      </c>
      <c r="B12" s="21" t="s">
        <v>399</v>
      </c>
      <c r="C12" s="22" t="s">
        <v>3</v>
      </c>
      <c r="D12" s="23" t="s">
        <v>20</v>
      </c>
      <c r="E12" s="21" t="s">
        <v>20</v>
      </c>
      <c r="F12" s="21">
        <v>31</v>
      </c>
      <c r="G12" s="6"/>
      <c r="H12" s="29"/>
      <c r="I12" s="1171" t="s">
        <v>865</v>
      </c>
      <c r="J12" s="1172" t="s">
        <v>856</v>
      </c>
      <c r="K12" s="1172" t="s">
        <v>859</v>
      </c>
      <c r="L12" s="1172" t="s">
        <v>864</v>
      </c>
      <c r="M12" s="26" t="s">
        <v>804</v>
      </c>
      <c r="N12" s="26" t="s">
        <v>38</v>
      </c>
      <c r="O12" s="57" t="s">
        <v>221</v>
      </c>
      <c r="P12" s="26" t="s">
        <v>378</v>
      </c>
      <c r="Q12" s="26" t="s">
        <v>379</v>
      </c>
      <c r="R12" s="26" t="s">
        <v>380</v>
      </c>
      <c r="S12" s="26"/>
      <c r="T12" s="26"/>
      <c r="U12" s="26"/>
      <c r="V12" s="26"/>
      <c r="W12" s="26"/>
      <c r="X12" s="52"/>
      <c r="Y12" s="1177" t="s">
        <v>830</v>
      </c>
      <c r="Z12" s="1173" t="s">
        <v>829</v>
      </c>
      <c r="AA12" s="1173" t="s">
        <v>831</v>
      </c>
      <c r="AB12" s="1173" t="s">
        <v>832</v>
      </c>
      <c r="AC12" s="26"/>
      <c r="AD12" s="26"/>
      <c r="AE12" s="26"/>
      <c r="AF12" s="52"/>
      <c r="AG12" s="49"/>
      <c r="AH12" s="26"/>
      <c r="AI12" s="26"/>
      <c r="AJ12" s="27"/>
      <c r="AK12" s="25"/>
      <c r="AL12" s="26"/>
      <c r="AM12" s="26"/>
      <c r="AN12" s="52"/>
      <c r="AO12" s="59"/>
      <c r="AP12" s="59"/>
      <c r="AQ12" s="59"/>
      <c r="AR12" s="64"/>
      <c r="AS12" s="49" t="s">
        <v>857</v>
      </c>
      <c r="AT12" s="27"/>
      <c r="AU12" s="49" t="s">
        <v>860</v>
      </c>
      <c r="AV12" s="27"/>
      <c r="AW12" s="49" t="s">
        <v>852</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495</v>
      </c>
      <c r="BW12" s="155" t="s">
        <v>381</v>
      </c>
      <c r="BX12" s="155" t="s">
        <v>382</v>
      </c>
      <c r="BY12" s="156" t="s">
        <v>861</v>
      </c>
      <c r="BZ12" s="155"/>
      <c r="CA12" s="155" t="s">
        <v>287</v>
      </c>
      <c r="CB12" s="155" t="s">
        <v>282</v>
      </c>
      <c r="CC12" s="155" t="s">
        <v>283</v>
      </c>
      <c r="CD12" s="155" t="s">
        <v>284</v>
      </c>
      <c r="CE12" s="156"/>
      <c r="CF12" s="156"/>
      <c r="CG12" s="156"/>
      <c r="CH12" s="156"/>
      <c r="CI12" s="156" t="s">
        <v>478</v>
      </c>
      <c r="CJ12" s="156" t="s">
        <v>295</v>
      </c>
      <c r="CK12" s="155" t="s">
        <v>488</v>
      </c>
      <c r="CL12" s="155" t="s">
        <v>490</v>
      </c>
      <c r="CM12" s="155" t="s">
        <v>492</v>
      </c>
      <c r="CN12" s="288" t="s">
        <v>329</v>
      </c>
      <c r="CO12" s="156">
        <v>2880</v>
      </c>
      <c r="CP12" s="288" t="s">
        <v>304</v>
      </c>
      <c r="CQ12" s="288" t="s">
        <v>843</v>
      </c>
      <c r="CR12" s="288"/>
      <c r="CS12" s="156"/>
      <c r="CT12" s="155"/>
      <c r="CU12" s="155"/>
      <c r="CV12" s="155" t="s">
        <v>499</v>
      </c>
      <c r="CW12" s="155" t="s">
        <v>333</v>
      </c>
      <c r="CX12" s="155" t="s">
        <v>340</v>
      </c>
      <c r="CY12" s="155" t="s">
        <v>436</v>
      </c>
      <c r="CZ12" s="155" t="s">
        <v>437</v>
      </c>
      <c r="DA12" s="155" t="s">
        <v>438</v>
      </c>
      <c r="DB12" s="316" t="s">
        <v>811</v>
      </c>
      <c r="DC12" s="316" t="s">
        <v>812</v>
      </c>
      <c r="DD12" s="155"/>
      <c r="DE12" s="155" t="s">
        <v>241</v>
      </c>
      <c r="DF12" s="155"/>
      <c r="DG12" s="155" t="s">
        <v>442</v>
      </c>
      <c r="DH12" s="155" t="s">
        <v>496</v>
      </c>
      <c r="DI12" s="155" t="s">
        <v>497</v>
      </c>
      <c r="DJ12" s="155" t="s">
        <v>498</v>
      </c>
      <c r="DK12" s="155"/>
      <c r="DL12" s="155"/>
      <c r="DM12" s="288"/>
      <c r="DN12" s="288"/>
      <c r="DO12" s="288"/>
      <c r="DP12" s="288"/>
      <c r="DQ12" s="288"/>
      <c r="DR12" s="288"/>
      <c r="DS12" s="288"/>
      <c r="DT12" s="288"/>
      <c r="DU12" s="288" t="s">
        <v>664</v>
      </c>
      <c r="DV12" s="288" t="s">
        <v>659</v>
      </c>
      <c r="DW12" s="288" t="s">
        <v>660</v>
      </c>
      <c r="DX12" s="288" t="s">
        <v>661</v>
      </c>
      <c r="DY12" s="288" t="s">
        <v>662</v>
      </c>
      <c r="DZ12" s="288"/>
      <c r="EA12" s="288"/>
      <c r="EB12" s="288"/>
      <c r="EC12" s="288"/>
      <c r="ED12" s="288"/>
      <c r="EE12" s="288"/>
      <c r="EF12" s="288"/>
      <c r="EG12" s="288"/>
      <c r="EH12" s="288"/>
      <c r="EI12" s="288"/>
      <c r="EJ12" s="288"/>
      <c r="EK12" s="288"/>
      <c r="EL12" s="288" t="s">
        <v>755</v>
      </c>
      <c r="EM12" s="288" t="s">
        <v>756</v>
      </c>
      <c r="EN12" s="155" t="s">
        <v>754</v>
      </c>
      <c r="EO12" s="984" t="s">
        <v>819</v>
      </c>
      <c r="EP12" s="984" t="s">
        <v>822</v>
      </c>
      <c r="EQ12" s="984" t="s">
        <v>824</v>
      </c>
      <c r="ER12" s="995">
        <v>680</v>
      </c>
      <c r="ES12" s="994"/>
      <c r="ET12" s="1137"/>
      <c r="EU12" s="1137"/>
      <c r="EV12" s="155" t="s">
        <v>782</v>
      </c>
      <c r="EW12" s="288"/>
      <c r="EX12" s="288"/>
      <c r="EY12" s="288"/>
      <c r="EZ12" s="288"/>
    </row>
    <row r="13" spans="1:156" ht="14.25" customHeight="1" thickBot="1">
      <c r="A13" s="74" t="s">
        <v>0</v>
      </c>
      <c r="B13" s="75" t="s">
        <v>399</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399</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1002</v>
      </c>
      <c r="B15" s="21" t="s">
        <v>399</v>
      </c>
      <c r="C15" s="22" t="s">
        <v>3</v>
      </c>
      <c r="D15" s="23" t="s">
        <v>20</v>
      </c>
      <c r="E15" s="21" t="s">
        <v>22</v>
      </c>
      <c r="F15" s="21">
        <v>33</v>
      </c>
      <c r="G15" s="6"/>
      <c r="H15" s="24"/>
      <c r="I15" s="25" t="s">
        <v>510</v>
      </c>
      <c r="J15" s="26" t="s">
        <v>871</v>
      </c>
      <c r="K15" s="26" t="s">
        <v>882</v>
      </c>
      <c r="L15" s="26" t="s">
        <v>889</v>
      </c>
      <c r="M15" s="26" t="s">
        <v>509</v>
      </c>
      <c r="N15" s="26" t="s">
        <v>321</v>
      </c>
      <c r="O15" s="57" t="s">
        <v>322</v>
      </c>
      <c r="P15" s="26" t="s">
        <v>470</v>
      </c>
      <c r="Q15" s="26" t="s">
        <v>471</v>
      </c>
      <c r="R15" s="26" t="s">
        <v>472</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723</v>
      </c>
      <c r="AT15" s="27" t="s">
        <v>720</v>
      </c>
      <c r="AU15" s="49" t="s">
        <v>513</v>
      </c>
      <c r="AV15" s="27" t="s">
        <v>721</v>
      </c>
      <c r="AW15" s="49" t="s">
        <v>514</v>
      </c>
      <c r="AX15" s="27" t="s">
        <v>722</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377</v>
      </c>
      <c r="BW15" s="154" t="s">
        <v>302</v>
      </c>
      <c r="BX15" s="154" t="s">
        <v>303</v>
      </c>
      <c r="BY15" s="213" t="s">
        <v>999</v>
      </c>
      <c r="BZ15" s="213" t="s">
        <v>844</v>
      </c>
      <c r="CA15" s="154"/>
      <c r="CB15" s="154"/>
      <c r="CC15" s="154"/>
      <c r="CD15" s="154"/>
      <c r="CE15" s="154"/>
      <c r="CF15" s="154"/>
      <c r="CG15" s="154"/>
      <c r="CH15" s="154"/>
      <c r="CI15" s="154" t="s">
        <v>484</v>
      </c>
      <c r="CJ15" s="154" t="s">
        <v>394</v>
      </c>
      <c r="CK15" s="154" t="s">
        <v>459</v>
      </c>
      <c r="CL15" s="154" t="s">
        <v>460</v>
      </c>
      <c r="CM15" s="154" t="s">
        <v>461</v>
      </c>
      <c r="CN15" s="154">
        <v>1262</v>
      </c>
      <c r="CO15" s="154">
        <v>6600</v>
      </c>
      <c r="CP15" s="154">
        <v>1262</v>
      </c>
      <c r="CQ15" s="213" t="s">
        <v>868</v>
      </c>
      <c r="CR15" s="213" t="s">
        <v>845</v>
      </c>
      <c r="CS15" s="154" t="s">
        <v>386</v>
      </c>
      <c r="CT15" s="155"/>
      <c r="CU15" s="155"/>
      <c r="CV15" s="155" t="s">
        <v>371</v>
      </c>
      <c r="CW15" s="155" t="s">
        <v>334</v>
      </c>
      <c r="CX15" s="155" t="s">
        <v>156</v>
      </c>
      <c r="CY15" s="155"/>
      <c r="CZ15" s="155"/>
      <c r="DA15" s="155"/>
      <c r="DB15" s="146" t="s">
        <v>872</v>
      </c>
      <c r="DC15" s="146" t="s">
        <v>873</v>
      </c>
      <c r="DD15" s="155"/>
      <c r="DE15" s="155" t="s">
        <v>512</v>
      </c>
      <c r="DF15" s="155" t="s">
        <v>407</v>
      </c>
      <c r="DG15" s="155"/>
      <c r="DH15" s="154" t="s">
        <v>424</v>
      </c>
      <c r="DI15" s="154" t="s">
        <v>425</v>
      </c>
      <c r="DJ15" s="154" t="s">
        <v>426</v>
      </c>
      <c r="DK15" s="154"/>
      <c r="DL15" s="154"/>
      <c r="DM15" s="154"/>
      <c r="DN15" s="154"/>
      <c r="DO15" s="154"/>
      <c r="DP15" s="154"/>
      <c r="DQ15" s="154"/>
      <c r="DR15" s="154"/>
      <c r="DS15" s="154"/>
      <c r="DT15" s="154"/>
      <c r="DU15" s="154" t="s">
        <v>596</v>
      </c>
      <c r="DV15" s="154"/>
      <c r="DW15" s="154"/>
      <c r="DX15" s="154"/>
      <c r="DY15" s="154"/>
      <c r="DZ15" s="154"/>
      <c r="EA15" s="154"/>
      <c r="EB15" s="154" t="s">
        <v>723</v>
      </c>
      <c r="EC15" s="154" t="s">
        <v>604</v>
      </c>
      <c r="ED15" s="154"/>
      <c r="EE15" s="154">
        <v>6000</v>
      </c>
      <c r="EF15" s="154">
        <v>650</v>
      </c>
      <c r="EG15" s="154"/>
      <c r="EH15" s="154"/>
      <c r="EI15" s="154" t="s">
        <v>605</v>
      </c>
      <c r="EJ15" s="154"/>
      <c r="EK15" s="154"/>
      <c r="EL15" s="154"/>
      <c r="EM15" s="154"/>
      <c r="EN15" s="154"/>
      <c r="EO15" s="983" t="s">
        <v>874</v>
      </c>
      <c r="EP15" s="983" t="s">
        <v>883</v>
      </c>
      <c r="EQ15" s="983" t="s">
        <v>890</v>
      </c>
      <c r="ER15" s="998" t="s">
        <v>745</v>
      </c>
      <c r="ES15" s="993"/>
      <c r="ET15" s="1137"/>
      <c r="EU15" s="1137"/>
      <c r="EV15" s="155" t="s">
        <v>781</v>
      </c>
      <c r="EW15" s="154"/>
      <c r="EX15" s="154"/>
      <c r="EY15" s="154"/>
      <c r="EZ15" s="154"/>
    </row>
    <row r="16" spans="1:156" ht="14.25" customHeight="1">
      <c r="A16" s="7" t="s">
        <v>1007</v>
      </c>
      <c r="B16" s="21" t="s">
        <v>399</v>
      </c>
      <c r="C16" s="22" t="s">
        <v>3</v>
      </c>
      <c r="D16" s="23" t="s">
        <v>20</v>
      </c>
      <c r="E16" s="21" t="s">
        <v>210</v>
      </c>
      <c r="F16" s="21" t="s">
        <v>81</v>
      </c>
      <c r="G16" s="6"/>
      <c r="H16" s="24"/>
      <c r="I16" s="25" t="s">
        <v>510</v>
      </c>
      <c r="J16" s="26" t="s">
        <v>871</v>
      </c>
      <c r="K16" s="26" t="s">
        <v>882</v>
      </c>
      <c r="L16" s="26" t="s">
        <v>889</v>
      </c>
      <c r="M16" s="26" t="s">
        <v>509</v>
      </c>
      <c r="N16" s="26" t="s">
        <v>321</v>
      </c>
      <c r="O16" s="57" t="s">
        <v>322</v>
      </c>
      <c r="P16" s="26" t="s">
        <v>470</v>
      </c>
      <c r="Q16" s="26" t="s">
        <v>471</v>
      </c>
      <c r="R16" s="26" t="s">
        <v>472</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723</v>
      </c>
      <c r="AT16" s="27" t="s">
        <v>720</v>
      </c>
      <c r="AU16" s="49" t="s">
        <v>513</v>
      </c>
      <c r="AV16" s="27" t="s">
        <v>721</v>
      </c>
      <c r="AW16" s="49" t="s">
        <v>514</v>
      </c>
      <c r="AX16" s="27" t="s">
        <v>722</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377</v>
      </c>
      <c r="BW16" s="154" t="s">
        <v>302</v>
      </c>
      <c r="BX16" s="154" t="s">
        <v>303</v>
      </c>
      <c r="BY16" s="213" t="s">
        <v>999</v>
      </c>
      <c r="BZ16" s="213" t="s">
        <v>844</v>
      </c>
      <c r="CA16" s="154"/>
      <c r="CB16" s="154"/>
      <c r="CC16" s="154"/>
      <c r="CD16" s="154"/>
      <c r="CE16" s="154"/>
      <c r="CF16" s="154"/>
      <c r="CG16" s="154"/>
      <c r="CH16" s="154"/>
      <c r="CI16" s="154" t="s">
        <v>484</v>
      </c>
      <c r="CJ16" s="154" t="s">
        <v>394</v>
      </c>
      <c r="CK16" s="154" t="s">
        <v>459</v>
      </c>
      <c r="CL16" s="154" t="s">
        <v>460</v>
      </c>
      <c r="CM16" s="154" t="s">
        <v>461</v>
      </c>
      <c r="CN16" s="154">
        <v>1262</v>
      </c>
      <c r="CO16" s="154">
        <v>6600</v>
      </c>
      <c r="CP16" s="154">
        <v>1262</v>
      </c>
      <c r="CQ16" s="213" t="s">
        <v>868</v>
      </c>
      <c r="CR16" s="213" t="s">
        <v>845</v>
      </c>
      <c r="CS16" s="154" t="s">
        <v>386</v>
      </c>
      <c r="CT16" s="155"/>
      <c r="CU16" s="155"/>
      <c r="CV16" s="155" t="s">
        <v>371</v>
      </c>
      <c r="CW16" s="155" t="s">
        <v>334</v>
      </c>
      <c r="CX16" s="155" t="s">
        <v>156</v>
      </c>
      <c r="CY16" s="155"/>
      <c r="CZ16" s="155"/>
      <c r="DA16" s="155"/>
      <c r="DB16" s="146" t="s">
        <v>872</v>
      </c>
      <c r="DC16" s="146" t="s">
        <v>873</v>
      </c>
      <c r="DD16" s="155"/>
      <c r="DE16" s="155" t="s">
        <v>512</v>
      </c>
      <c r="DF16" s="155" t="s">
        <v>407</v>
      </c>
      <c r="DG16" s="155"/>
      <c r="DH16" s="154" t="s">
        <v>424</v>
      </c>
      <c r="DI16" s="154" t="s">
        <v>425</v>
      </c>
      <c r="DJ16" s="154" t="s">
        <v>426</v>
      </c>
      <c r="DK16" s="154"/>
      <c r="DL16" s="154"/>
      <c r="DM16" s="154"/>
      <c r="DN16" s="154"/>
      <c r="DO16" s="154"/>
      <c r="DP16" s="154"/>
      <c r="DQ16" s="154"/>
      <c r="DR16" s="154"/>
      <c r="DS16" s="154"/>
      <c r="DT16" s="154"/>
      <c r="DU16" s="154" t="s">
        <v>596</v>
      </c>
      <c r="DV16" s="154"/>
      <c r="DW16" s="154"/>
      <c r="DX16" s="154"/>
      <c r="DY16" s="154"/>
      <c r="DZ16" s="154"/>
      <c r="EA16" s="154"/>
      <c r="EB16" s="154" t="s">
        <v>723</v>
      </c>
      <c r="EC16" s="154" t="s">
        <v>604</v>
      </c>
      <c r="ED16" s="154"/>
      <c r="EE16" s="154">
        <v>6000</v>
      </c>
      <c r="EF16" s="154">
        <v>650</v>
      </c>
      <c r="EG16" s="154"/>
      <c r="EH16" s="154"/>
      <c r="EI16" s="154" t="s">
        <v>605</v>
      </c>
      <c r="EJ16" s="154"/>
      <c r="EK16" s="154"/>
      <c r="EL16" s="154"/>
      <c r="EM16" s="154"/>
      <c r="EN16" s="154"/>
      <c r="EO16" s="983" t="s">
        <v>874</v>
      </c>
      <c r="EP16" s="983" t="s">
        <v>883</v>
      </c>
      <c r="EQ16" s="983" t="s">
        <v>890</v>
      </c>
      <c r="ER16" s="998" t="s">
        <v>745</v>
      </c>
      <c r="ES16" s="993"/>
      <c r="ET16" s="1137"/>
      <c r="EU16" s="1137"/>
      <c r="EV16" s="155" t="s">
        <v>781</v>
      </c>
      <c r="EW16" s="154"/>
      <c r="EX16" s="154"/>
      <c r="EY16" s="154"/>
      <c r="EZ16" s="154"/>
    </row>
    <row r="17" spans="1:156" ht="14.25" customHeight="1">
      <c r="A17" s="20" t="s">
        <v>1003</v>
      </c>
      <c r="B17" s="21" t="s">
        <v>399</v>
      </c>
      <c r="C17" s="22" t="s">
        <v>3</v>
      </c>
      <c r="D17" s="23" t="s">
        <v>20</v>
      </c>
      <c r="E17" s="21" t="s">
        <v>20</v>
      </c>
      <c r="F17" s="21">
        <v>31</v>
      </c>
      <c r="G17" s="6"/>
      <c r="H17" s="24"/>
      <c r="I17" s="25" t="s">
        <v>510</v>
      </c>
      <c r="J17" s="26" t="s">
        <v>875</v>
      </c>
      <c r="K17" s="26" t="s">
        <v>884</v>
      </c>
      <c r="L17" s="26" t="s">
        <v>891</v>
      </c>
      <c r="M17" s="26" t="s">
        <v>509</v>
      </c>
      <c r="N17" s="26" t="s">
        <v>147</v>
      </c>
      <c r="O17" s="57" t="s">
        <v>222</v>
      </c>
      <c r="P17" s="26" t="s">
        <v>470</v>
      </c>
      <c r="Q17" s="26" t="s">
        <v>471</v>
      </c>
      <c r="R17" s="26" t="s">
        <v>472</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876</v>
      </c>
      <c r="AT17" s="27"/>
      <c r="AU17" s="49" t="s">
        <v>885</v>
      </c>
      <c r="AV17" s="27"/>
      <c r="AW17" s="49" t="s">
        <v>892</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377</v>
      </c>
      <c r="BW17" s="154" t="s">
        <v>375</v>
      </c>
      <c r="BX17" s="154" t="s">
        <v>376</v>
      </c>
      <c r="BY17" s="172" t="s">
        <v>1000</v>
      </c>
      <c r="BZ17" s="156"/>
      <c r="CA17" s="156"/>
      <c r="CB17" s="156"/>
      <c r="CC17" s="156"/>
      <c r="CD17" s="156"/>
      <c r="CE17" s="156"/>
      <c r="CF17" s="156"/>
      <c r="CG17" s="156"/>
      <c r="CH17" s="156"/>
      <c r="CI17" s="156" t="s">
        <v>484</v>
      </c>
      <c r="CJ17" s="156" t="s">
        <v>394</v>
      </c>
      <c r="CK17" s="154" t="s">
        <v>459</v>
      </c>
      <c r="CL17" s="154" t="s">
        <v>460</v>
      </c>
      <c r="CM17" s="154" t="s">
        <v>461</v>
      </c>
      <c r="CN17" s="288" t="s">
        <v>329</v>
      </c>
      <c r="CO17" s="156">
        <v>2880</v>
      </c>
      <c r="CP17" s="213" t="s">
        <v>305</v>
      </c>
      <c r="CQ17" s="213" t="s">
        <v>868</v>
      </c>
      <c r="CR17" s="213"/>
      <c r="CS17" s="154" t="s">
        <v>386</v>
      </c>
      <c r="CT17" s="155"/>
      <c r="CU17" s="155"/>
      <c r="CV17" s="155" t="s">
        <v>371</v>
      </c>
      <c r="CW17" s="155" t="s">
        <v>334</v>
      </c>
      <c r="CX17" s="155" t="s">
        <v>156</v>
      </c>
      <c r="CY17" s="155"/>
      <c r="CZ17" s="155"/>
      <c r="DA17" s="155"/>
      <c r="DB17" s="146" t="s">
        <v>877</v>
      </c>
      <c r="DC17" s="146" t="s">
        <v>878</v>
      </c>
      <c r="DD17" s="155"/>
      <c r="DE17" s="155" t="s">
        <v>512</v>
      </c>
      <c r="DF17" s="155" t="s">
        <v>407</v>
      </c>
      <c r="DG17" s="155"/>
      <c r="DH17" s="154" t="s">
        <v>424</v>
      </c>
      <c r="DI17" s="154" t="s">
        <v>425</v>
      </c>
      <c r="DJ17" s="154" t="s">
        <v>426</v>
      </c>
      <c r="DK17" s="154"/>
      <c r="DL17" s="154"/>
      <c r="DM17" s="154"/>
      <c r="DN17" s="154"/>
      <c r="DO17" s="154"/>
      <c r="DP17" s="154"/>
      <c r="DQ17" s="154"/>
      <c r="DR17" s="154"/>
      <c r="DS17" s="154"/>
      <c r="DT17" s="154"/>
      <c r="DU17" s="154" t="s">
        <v>596</v>
      </c>
      <c r="DV17" s="154"/>
      <c r="DW17" s="154"/>
      <c r="DX17" s="154"/>
      <c r="DY17" s="154"/>
      <c r="DZ17" s="154"/>
      <c r="EA17" s="154"/>
      <c r="EB17" s="154"/>
      <c r="EC17" s="154"/>
      <c r="ED17" s="154"/>
      <c r="EE17" s="154"/>
      <c r="EF17" s="154"/>
      <c r="EG17" s="154"/>
      <c r="EH17" s="154"/>
      <c r="EI17" s="154" t="s">
        <v>605</v>
      </c>
      <c r="EJ17" s="154"/>
      <c r="EK17" s="154"/>
      <c r="EL17" s="154"/>
      <c r="EM17" s="154"/>
      <c r="EN17" s="154"/>
      <c r="EO17" s="983" t="s">
        <v>879</v>
      </c>
      <c r="EP17" s="983" t="s">
        <v>886</v>
      </c>
      <c r="EQ17" s="983" t="s">
        <v>893</v>
      </c>
      <c r="ER17" s="997">
        <v>1000</v>
      </c>
      <c r="ES17" s="993"/>
      <c r="ET17" s="1137"/>
      <c r="EU17" s="1137"/>
      <c r="EV17" s="155" t="s">
        <v>781</v>
      </c>
      <c r="EW17" s="154"/>
      <c r="EX17" s="154"/>
      <c r="EY17" s="154"/>
      <c r="EZ17" s="154"/>
    </row>
    <row r="18" spans="1:156" ht="14.25" customHeight="1">
      <c r="A18" s="20" t="s">
        <v>1006</v>
      </c>
      <c r="B18" s="21" t="s">
        <v>399</v>
      </c>
      <c r="C18" s="22" t="s">
        <v>3</v>
      </c>
      <c r="D18" s="23" t="s">
        <v>82</v>
      </c>
      <c r="E18" s="21" t="s">
        <v>82</v>
      </c>
      <c r="F18" s="21" t="s">
        <v>137</v>
      </c>
      <c r="G18" s="6"/>
      <c r="H18" s="24"/>
      <c r="I18" s="25" t="s">
        <v>143</v>
      </c>
      <c r="J18" s="26" t="s">
        <v>880</v>
      </c>
      <c r="K18" s="26" t="s">
        <v>887</v>
      </c>
      <c r="L18" s="26" t="s">
        <v>888</v>
      </c>
      <c r="M18" s="26" t="s">
        <v>508</v>
      </c>
      <c r="N18" s="26" t="s">
        <v>148</v>
      </c>
      <c r="O18" s="26" t="s">
        <v>223</v>
      </c>
      <c r="P18" s="26" t="s">
        <v>464</v>
      </c>
      <c r="Q18" s="26" t="s">
        <v>465</v>
      </c>
      <c r="R18" s="26" t="s">
        <v>466</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516</v>
      </c>
      <c r="AT18" s="468" t="s">
        <v>324</v>
      </c>
      <c r="AU18" s="147" t="s">
        <v>325</v>
      </c>
      <c r="AV18" s="468" t="s">
        <v>326</v>
      </c>
      <c r="AW18" s="147" t="s">
        <v>327</v>
      </c>
      <c r="AX18" s="468" t="s">
        <v>328</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306</v>
      </c>
      <c r="BW18" s="153" t="s">
        <v>308</v>
      </c>
      <c r="BX18" s="153" t="s">
        <v>309</v>
      </c>
      <c r="BY18" s="172" t="s">
        <v>995</v>
      </c>
      <c r="BZ18" s="173" t="s">
        <v>997</v>
      </c>
      <c r="CA18" s="153"/>
      <c r="CB18" s="153"/>
      <c r="CC18" s="153"/>
      <c r="CD18" s="153"/>
      <c r="CE18" s="153"/>
      <c r="CF18" s="153"/>
      <c r="CG18" s="153"/>
      <c r="CH18" s="153"/>
      <c r="CI18" s="153" t="s">
        <v>501</v>
      </c>
      <c r="CJ18" s="153" t="s">
        <v>296</v>
      </c>
      <c r="CK18" s="153" t="s">
        <v>462</v>
      </c>
      <c r="CL18" s="153" t="s">
        <v>463</v>
      </c>
      <c r="CM18" s="153" t="s">
        <v>463</v>
      </c>
      <c r="CN18" s="153">
        <v>1175</v>
      </c>
      <c r="CO18" s="153">
        <v>1800</v>
      </c>
      <c r="CP18" s="288" t="s">
        <v>414</v>
      </c>
      <c r="CQ18" s="153" t="s">
        <v>998</v>
      </c>
      <c r="CR18" s="153"/>
      <c r="CS18" s="153" t="s">
        <v>609</v>
      </c>
      <c r="CT18" s="155"/>
      <c r="CU18" s="155"/>
      <c r="CV18" s="155" t="s">
        <v>311</v>
      </c>
      <c r="CW18" s="155" t="s">
        <v>335</v>
      </c>
      <c r="CX18" s="155" t="s">
        <v>338</v>
      </c>
      <c r="CY18" s="155"/>
      <c r="CZ18" s="155"/>
      <c r="DA18" s="155"/>
      <c r="DB18" s="319" t="s">
        <v>869</v>
      </c>
      <c r="DC18" s="325"/>
      <c r="DD18" s="155"/>
      <c r="DE18" s="326" t="s">
        <v>511</v>
      </c>
      <c r="DF18" s="326" t="s">
        <v>881</v>
      </c>
      <c r="DG18" s="155"/>
      <c r="DH18" s="153" t="s">
        <v>432</v>
      </c>
      <c r="DI18" s="153" t="s">
        <v>430</v>
      </c>
      <c r="DJ18" s="153" t="s">
        <v>431</v>
      </c>
      <c r="DK18" s="153"/>
      <c r="DL18" s="153"/>
      <c r="DM18" s="154"/>
      <c r="DN18" s="154"/>
      <c r="DO18" s="154"/>
      <c r="DP18" s="154"/>
      <c r="DQ18" s="154"/>
      <c r="DR18" s="154"/>
      <c r="DS18" s="154"/>
      <c r="DT18" s="154"/>
      <c r="DU18" s="154" t="s">
        <v>597</v>
      </c>
      <c r="DV18" s="154"/>
      <c r="DW18" s="154"/>
      <c r="DX18" s="154"/>
      <c r="DY18" s="154"/>
      <c r="DZ18" s="154"/>
      <c r="EA18" s="154"/>
      <c r="EB18" s="154" t="s">
        <v>603</v>
      </c>
      <c r="EC18" s="154" t="s">
        <v>606</v>
      </c>
      <c r="ED18" s="154"/>
      <c r="EE18" s="154">
        <v>1200</v>
      </c>
      <c r="EF18" s="154">
        <v>600</v>
      </c>
      <c r="EG18" s="154"/>
      <c r="EH18" s="154"/>
      <c r="EI18" s="154" t="s">
        <v>608</v>
      </c>
      <c r="EJ18" s="154"/>
      <c r="EK18" s="154"/>
      <c r="EL18" s="154"/>
      <c r="EM18" s="154"/>
      <c r="EN18" s="154"/>
      <c r="EO18" s="319" t="s">
        <v>869</v>
      </c>
      <c r="EP18" s="319" t="s">
        <v>887</v>
      </c>
      <c r="EQ18" s="319" t="s">
        <v>888</v>
      </c>
      <c r="ER18" s="996">
        <v>1600</v>
      </c>
      <c r="ES18" s="338"/>
      <c r="ET18" s="1137"/>
      <c r="EU18" s="1137"/>
      <c r="EV18" s="155" t="s">
        <v>784</v>
      </c>
      <c r="EW18" s="154"/>
      <c r="EX18" s="154"/>
      <c r="EY18" s="154"/>
      <c r="EZ18" s="154"/>
    </row>
    <row r="19" spans="1:156" ht="14.25" customHeight="1" thickBot="1">
      <c r="A19" s="74" t="s">
        <v>0</v>
      </c>
      <c r="B19" s="75" t="s">
        <v>399</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yRSDBJBT+4DsC7xFeVXkvaB6O4FVaL4quA7/qn0UfQc1/A7t8pwD30zWkNcIeM79ztPdLYiMwKWohZgi6XONg==" saltValue="vR0f27fVS9CNgU3SqDZJA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BADAJOZ</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348</v>
      </c>
      <c r="B5" s="271"/>
      <c r="C5" s="1555" t="str">
        <f>"Año:  " &amp;Criterios!B$5 &amp; "          Trimestre   " &amp;Criterios!D$5 &amp; " al " &amp;Criterios!D$6</f>
        <v>Año:  2026          Trimestre   2 al 2</v>
      </c>
      <c r="D5" s="1522" t="s">
        <v>373</v>
      </c>
      <c r="E5" s="1522" t="s">
        <v>547</v>
      </c>
      <c r="F5" s="1557" t="s">
        <v>403</v>
      </c>
      <c r="G5" s="1522" t="s">
        <v>130</v>
      </c>
      <c r="H5" s="1522" t="s">
        <v>577</v>
      </c>
      <c r="I5" s="1522" t="s">
        <v>548</v>
      </c>
      <c r="J5" s="1522" t="s">
        <v>651</v>
      </c>
      <c r="K5" s="1522" t="s">
        <v>652</v>
      </c>
      <c r="L5" s="1522" t="s">
        <v>549</v>
      </c>
      <c r="M5" s="1522" t="s">
        <v>517</v>
      </c>
      <c r="N5" s="1522" t="s">
        <v>653</v>
      </c>
      <c r="O5" s="1552" t="s">
        <v>575</v>
      </c>
      <c r="P5" s="1522" t="s">
        <v>671</v>
      </c>
      <c r="Q5" s="1522" t="s">
        <v>666</v>
      </c>
      <c r="R5" s="1522" t="s">
        <v>165</v>
      </c>
      <c r="S5" s="1540" t="s">
        <v>663</v>
      </c>
      <c r="T5" s="1540" t="s">
        <v>665</v>
      </c>
      <c r="U5" s="1522" t="s">
        <v>578</v>
      </c>
      <c r="V5" s="1540" t="s">
        <v>550</v>
      </c>
      <c r="W5" s="1522" t="s">
        <v>749</v>
      </c>
      <c r="X5" s="1522" t="s">
        <v>750</v>
      </c>
      <c r="Y5" s="1543" t="s">
        <v>654</v>
      </c>
      <c r="Z5" s="1546" t="s">
        <v>600</v>
      </c>
      <c r="AA5" s="1549" t="s">
        <v>551</v>
      </c>
      <c r="AB5" s="1546" t="s">
        <v>552</v>
      </c>
      <c r="AC5" s="1546" t="s">
        <v>553</v>
      </c>
      <c r="AD5" s="1537" t="s">
        <v>655</v>
      </c>
      <c r="AE5" s="1537" t="s">
        <v>757</v>
      </c>
      <c r="AF5" s="1522" t="s">
        <v>667</v>
      </c>
      <c r="AG5" s="1522" t="s">
        <v>518</v>
      </c>
      <c r="AH5" s="1522" t="s">
        <v>656</v>
      </c>
      <c r="AI5" s="1522" t="s">
        <v>176</v>
      </c>
      <c r="AJ5" s="1522" t="s">
        <v>719</v>
      </c>
      <c r="AK5" s="1522" t="s">
        <v>519</v>
      </c>
      <c r="AL5" s="1522" t="s">
        <v>520</v>
      </c>
      <c r="AM5" s="1522" t="s">
        <v>672</v>
      </c>
      <c r="AN5" s="1522" t="s">
        <v>521</v>
      </c>
      <c r="AO5" s="1522" t="s">
        <v>522</v>
      </c>
      <c r="AP5" s="1522" t="s">
        <v>523</v>
      </c>
      <c r="AQ5" s="1522" t="s">
        <v>524</v>
      </c>
      <c r="AR5" s="1522" t="s">
        <v>657</v>
      </c>
      <c r="AS5" s="1522" t="s">
        <v>179</v>
      </c>
      <c r="AT5" s="1528" t="s">
        <v>177</v>
      </c>
      <c r="AU5" s="1522" t="s">
        <v>668</v>
      </c>
      <c r="AV5" s="1531" t="s">
        <v>669</v>
      </c>
      <c r="AW5" s="1525" t="s">
        <v>526</v>
      </c>
      <c r="AX5" s="1522" t="s">
        <v>527</v>
      </c>
      <c r="AY5" s="1522" t="s">
        <v>598</v>
      </c>
      <c r="AZ5" s="1534" t="s">
        <v>599</v>
      </c>
      <c r="BA5" s="1522" t="s">
        <v>555</v>
      </c>
      <c r="BB5" s="1531" t="s">
        <v>556</v>
      </c>
      <c r="BC5" s="1525" t="s">
        <v>180</v>
      </c>
      <c r="BD5" s="1522" t="s">
        <v>557</v>
      </c>
      <c r="BE5" s="1522" t="s">
        <v>244</v>
      </c>
      <c r="BF5" s="1522" t="s">
        <v>245</v>
      </c>
      <c r="BG5" s="1522" t="s">
        <v>246</v>
      </c>
      <c r="BH5" s="1522" t="s">
        <v>558</v>
      </c>
      <c r="BI5" s="1522" t="s">
        <v>247</v>
      </c>
      <c r="BJ5" s="1522" t="s">
        <v>559</v>
      </c>
      <c r="BK5" s="1522" t="s">
        <v>573</v>
      </c>
      <c r="BL5" s="1522" t="s">
        <v>560</v>
      </c>
      <c r="BM5" s="1522" t="s">
        <v>561</v>
      </c>
      <c r="BN5" s="1522" t="s">
        <v>586</v>
      </c>
      <c r="BO5" s="1522" t="s">
        <v>579</v>
      </c>
      <c r="BP5" s="1522" t="s">
        <v>787</v>
      </c>
      <c r="BQ5" s="1522" t="s">
        <v>790</v>
      </c>
      <c r="BR5" s="1522" t="s">
        <v>792</v>
      </c>
      <c r="BS5" s="1522" t="s">
        <v>580</v>
      </c>
      <c r="BT5" s="1522" t="s">
        <v>562</v>
      </c>
      <c r="BU5" s="1522" t="s">
        <v>525</v>
      </c>
      <c r="BV5" s="1519" t="s">
        <v>751</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7</v>
      </c>
      <c r="B9" s="500" t="s">
        <v>243</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161</v>
      </c>
      <c r="O9" s="333"/>
      <c r="P9" s="333"/>
      <c r="Q9" s="225">
        <f>IF(ISNUMBER(Datos!P9),Datos!P9,0)</f>
        <v>821</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1070</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179</v>
      </c>
      <c r="AI9" s="333" t="str">
        <f>IF(ISNUMBER(Datos!CD9),Datos!CD9,"-")</f>
        <v>-</v>
      </c>
      <c r="AJ9" s="333" t="str">
        <f>IF(ISNUMBER(Datos!EN9),Datos!EN9," - ")</f>
        <v xml:space="preserve"> - </v>
      </c>
      <c r="AK9" s="333"/>
      <c r="AL9" s="478"/>
      <c r="AM9" s="334">
        <f>IF(ISNUMBER(Datos!R9),Datos!R9," - ")</f>
        <v>10384</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920</v>
      </c>
      <c r="BD9" s="228">
        <f>IF(ISNUMBER(Datos!N9),Datos!N9," - ")</f>
        <v>1485</v>
      </c>
      <c r="BE9" s="228" t="str">
        <f>IF(ISNUMBER(Datos!BW9),Datos!BW9," - ")</f>
        <v xml:space="preserve"> - </v>
      </c>
      <c r="BF9" s="227" t="str">
        <f>IF(ISNUMBER(Datos!BX9),Datos!BX9," - ")</f>
        <v xml:space="preserve"> - </v>
      </c>
      <c r="BG9" s="242">
        <f>IF(ISNUMBER(IF(J_V="SI",Datos!K9/Datos!J9,(Datos!K9+Datos!AA9)/(Datos!J9+Datos!Z9))),IF(J_V="SI",Datos!K9/Datos!J9,(Datos!K9+Datos!AA9)/(Datos!J9+Datos!Z9))," - ")</f>
        <v>1.1789006486855582</v>
      </c>
      <c r="BH9" s="259">
        <f>IF(ISNUMBER(((IF(J_V="SI",Datos!L9/Datos!K9,(Datos!L9+Datos!AB9)/(Datos!K9+Datos!AA9)))*11)/factor_trimestre),((IF(J_V="SI",Datos!L9/Datos!K9,(Datos!L9+Datos!AB9)/(Datos!K9+Datos!AA9)))*11)/factor_trimestre," - ")</f>
        <v>4.5447437011294536</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-2.3417661995673845E-2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243</v>
      </c>
      <c r="C10" s="7" t="str">
        <f>Datos!A10</f>
        <v>Sección De Violencia sobre la Mujer del TI</v>
      </c>
      <c r="D10" s="507"/>
      <c r="E10" s="259">
        <f>IF(ISNUMBER(Datos!AQ10),Datos!AQ10," - ")</f>
        <v>2</v>
      </c>
      <c r="F10" s="224">
        <f>IF(ISNUMBER(Datos!L10+Datos!K10-Datos!J10),Datos!L10+Datos!K10-Datos!J10," - ")</f>
        <v>115</v>
      </c>
      <c r="G10" s="332">
        <f>IF(ISNUMBER(Datos!I10),Datos!I10," - ")</f>
        <v>115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38</v>
      </c>
      <c r="AC10" s="225">
        <f>IF(ISNUMBER(Datos!Q10),Datos!Q10," - ")</f>
        <v>8</v>
      </c>
      <c r="AD10" s="333"/>
      <c r="AE10" s="483"/>
      <c r="AF10" s="331">
        <f>IF(ISNUMBER(Datos!L10),Datos!L10,"-")</f>
        <v>114</v>
      </c>
      <c r="AG10" s="333"/>
      <c r="AH10" s="333"/>
      <c r="AI10" s="333"/>
      <c r="AJ10" s="333"/>
      <c r="AK10" s="333"/>
      <c r="AL10" s="478"/>
      <c r="AM10" s="334">
        <f>IF(ISNUMBER(Datos!R10),Datos!R10," - ")</f>
        <v>77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22</v>
      </c>
      <c r="BD10" s="228">
        <f>IF(ISNUMBER(Datos!N10),Datos!N10," - ")</f>
        <v>14</v>
      </c>
      <c r="BE10" s="228" t="str">
        <f>IF(ISNUMBER(Datos!BW10),Datos!BW10," - ")</f>
        <v xml:space="preserve"> - </v>
      </c>
      <c r="BF10" s="227" t="str">
        <f>IF(ISNUMBER(Datos!BX10),Datos!BX10," - ")</f>
        <v xml:space="preserve"> - </v>
      </c>
      <c r="BG10" s="242">
        <f>IF(ISNUMBER(Datos!K10/Datos!J10),Datos!K10/Datos!J10," - ")</f>
        <v>1.027027027027027</v>
      </c>
      <c r="BH10" s="259">
        <f>IF(ISNUMBER(((Datos!L10/Datos!K10)*11)/factor_trimestre),((Datos!L10/Datos!K10)*11)/factor_trimestre," - ")</f>
        <v>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4.0540540540540543E-2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1</v>
      </c>
      <c r="B11" s="506" t="s">
        <v>243</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101</v>
      </c>
      <c r="O11" s="333"/>
      <c r="P11" s="333"/>
      <c r="Q11" s="225">
        <f>IF(ISNUMBER(Datos!P11),Datos!P11,0)</f>
        <v>46</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66</v>
      </c>
      <c r="AD11" s="333"/>
      <c r="AE11" s="483"/>
      <c r="AF11" s="331" t="str">
        <f>IF(ISNUMBER(IF(J_V="SI",Datos!L11,Datos!L11+Datos!AB11)-IF(Monitorios="SI",Datos!CD11,0)),
                          IF(J_V="SI",Datos!L11,Datos!L11+Datos!AB11)-IF(Monitorios="SI",Datos!CD11,0),
                          " - ")</f>
        <v xml:space="preserve"> - </v>
      </c>
      <c r="AG11" s="333"/>
      <c r="AH11" s="333">
        <f>IF(ISNUMBER(Datos!AB11),Datos!AB11,"-")</f>
        <v>89</v>
      </c>
      <c r="AI11" s="333"/>
      <c r="AJ11" s="333"/>
      <c r="AK11" s="333"/>
      <c r="AL11" s="478"/>
      <c r="AM11" s="334">
        <f>IF(ISNUMBER(Datos!R11),Datos!R11," - ")</f>
        <v>317</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113</v>
      </c>
      <c r="BD11" s="228">
        <f>IF(ISNUMBER(Datos!N11),Datos!N11," - ")</f>
        <v>180</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0.80219780219780223</v>
      </c>
      <c r="BH11" s="259">
        <f>IF(ISNUMBER(((IF(J_V="SI",Datos!L11/Datos!K11,(Datos!L11+Datos!AB11)/(Datos!K11+Datos!AA11)))*11)/factor_trimestre),((IF(J_V="SI",Datos!L11/Datos!K11,(Datos!L11+Datos!AB11)/(Datos!K11+Datos!AA11)))*11)/factor_trimestre," - ")</f>
        <v>6.1952054794520555</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-5.9347181008902079E-2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243</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0</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0</v>
      </c>
      <c r="AI12" s="333" t="str">
        <f>IF(ISNUMBER(Datos!CD12),Datos!CD12,"-")</f>
        <v>-</v>
      </c>
      <c r="AJ12" s="333" t="str">
        <f>IF(ISNUMBER(Datos!EN12),Datos!EN12," - ")</f>
        <v xml:space="preserve"> - </v>
      </c>
      <c r="AK12" s="333"/>
      <c r="AL12" s="478"/>
      <c r="AM12" s="334">
        <f>IF(ISNUMBER(Datos!R12),Datos!R12," - ")</f>
        <v>24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0</v>
      </c>
      <c r="BD12" s="228">
        <f>IF(ISNUMBER(Datos!N12),Datos!N12," - ")</f>
        <v>0</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10</v>
      </c>
      <c r="F13" s="895">
        <f t="shared" si="0"/>
        <v>115</v>
      </c>
      <c r="G13" s="895">
        <f t="shared" si="0"/>
        <v>115</v>
      </c>
      <c r="H13" s="896">
        <f t="shared" si="0"/>
        <v>0</v>
      </c>
      <c r="I13" s="895">
        <f t="shared" si="0"/>
        <v>0</v>
      </c>
      <c r="J13" s="864">
        <f t="shared" si="0"/>
        <v>0</v>
      </c>
      <c r="K13" s="864">
        <f t="shared" si="0"/>
        <v>0</v>
      </c>
      <c r="L13" s="896">
        <f t="shared" si="0"/>
        <v>0</v>
      </c>
      <c r="M13" s="896">
        <f t="shared" si="0"/>
        <v>0</v>
      </c>
      <c r="N13" s="896">
        <f t="shared" si="0"/>
        <v>262</v>
      </c>
      <c r="O13" s="897">
        <f t="shared" si="0"/>
        <v>0</v>
      </c>
      <c r="P13" s="897">
        <f t="shared" si="0"/>
        <v>0</v>
      </c>
      <c r="Q13" s="896">
        <f t="shared" si="0"/>
        <v>878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38</v>
      </c>
      <c r="AC13" s="896">
        <f t="shared" si="1"/>
        <v>1144</v>
      </c>
      <c r="AD13" s="896">
        <f t="shared" si="1"/>
        <v>0</v>
      </c>
      <c r="AE13" s="896">
        <f t="shared" si="1"/>
        <v>0</v>
      </c>
      <c r="AF13" s="896">
        <f t="shared" si="1"/>
        <v>114</v>
      </c>
      <c r="AG13" s="896">
        <f t="shared" si="1"/>
        <v>0</v>
      </c>
      <c r="AH13" s="896">
        <f t="shared" si="1"/>
        <v>268</v>
      </c>
      <c r="AI13" s="896">
        <f t="shared" si="1"/>
        <v>0</v>
      </c>
      <c r="AJ13" s="896">
        <f t="shared" si="1"/>
        <v>0</v>
      </c>
      <c r="AK13" s="896">
        <f t="shared" si="1"/>
        <v>0</v>
      </c>
      <c r="AL13" s="896">
        <f t="shared" si="1"/>
        <v>0</v>
      </c>
      <c r="AM13" s="896">
        <f t="shared" si="1"/>
        <v>10802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1055</v>
      </c>
      <c r="BD13" s="896">
        <f t="shared" si="1"/>
        <v>1679</v>
      </c>
      <c r="BE13" s="896">
        <f t="shared" si="1"/>
        <v>0</v>
      </c>
      <c r="BF13" s="896">
        <f t="shared" si="1"/>
        <v>0</v>
      </c>
      <c r="BG13" s="896">
        <f>IF(ISNUMBER(Datos!K13/Datos!J13),Datos!K13/Datos!J13," - ")</f>
        <v>1.1652542372881356</v>
      </c>
      <c r="BH13" s="900">
        <f>IF(ISNUMBER(((Datos!L13/Datos!K13)*11)/factor_trimestre),((Datos!L13/Datos!K13)*11)/factor_trimestre," - ")</f>
        <v>4.7672727272727276</v>
      </c>
      <c r="BI13" s="896">
        <f>IF(ISNUMBER('Resol  Asuntos'!D13/NºAsuntos!G13),'Resol  Asuntos'!D13/NºAsuntos!G13," - ")</f>
        <v>0.27887919640496961</v>
      </c>
      <c r="BJ13" s="896" t="str">
        <f>IF(ISNUMBER(Datos!CI13/Datos!CJ13),Datos!CI13/Datos!CJ13," - ")</f>
        <v xml:space="preserve"> - </v>
      </c>
      <c r="BK13" s="896">
        <f>SUBTOTAL(9,BK8:BK12)</f>
        <v>0</v>
      </c>
      <c r="BL13" s="896">
        <f>IF(ISNUMBER((I13-AB13+L13)/(F13)),(I13-AB13+L13)/(F13)," - ")</f>
        <v>-0.33043478260869563</v>
      </c>
      <c r="BM13" s="901">
        <f>SUBTOTAL(9,BM9:BM12)</f>
        <v>-4.2224302464035385E-2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393</v>
      </c>
      <c r="C15" s="598" t="str">
        <f>Datos!A15</f>
        <v xml:space="preserve">Seccion Instruccion Del T.I.                   </v>
      </c>
      <c r="D15" s="599"/>
      <c r="E15" s="1160">
        <f>IF(ISNUMBER(Datos!AQ15),Datos!AQ15," - ")</f>
        <v>4</v>
      </c>
      <c r="F15" s="594">
        <f>IF(ISNUMBER(AF15+AB15-Datos!J15-L15),AF15+AB15-Datos!J15-L15," - ")</f>
        <v>2383</v>
      </c>
      <c r="G15" s="596">
        <f>IF(ISNUMBER(IF(D_I="SI",Datos!I15,Datos!I15+Datos!AC15)),IF(D_I="SI",Datos!I15,Datos!I15+Datos!AC15)," - ")</f>
        <v>2362</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89</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2585</v>
      </c>
      <c r="AC15" s="225">
        <f>IF(ISNUMBER(Datos!Q15),Datos!Q15," - ")</f>
        <v>157</v>
      </c>
      <c r="AD15" s="333"/>
      <c r="AE15" s="483"/>
      <c r="AF15" s="1192">
        <f>IF(ISNUMBER(IF(D_I="SI",Datos!L15,Datos!L15+Datos!AF15)),IF(D_I="SI",Datos!L15,Datos!L15+Datos!AF15)," - ")</f>
        <v>2419</v>
      </c>
      <c r="AG15" s="333"/>
      <c r="AH15" s="333"/>
      <c r="AI15" s="333"/>
      <c r="AJ15" s="333"/>
      <c r="AK15" s="333"/>
      <c r="AL15" s="478"/>
      <c r="AM15" s="334">
        <f>IF(ISNUMBER(Datos!R15),Datos!R15," - ")</f>
        <v>191</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334</v>
      </c>
      <c r="BD15" s="228">
        <f>IF(ISNUMBER(Datos!N15),Datos!N15," - ")</f>
        <v>1588</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0.98626478443342236</v>
      </c>
      <c r="BH15" s="259">
        <f>IF(ISNUMBER(((IF(D_I="SI",Datos!L15/Datos!K15,(Datos!L15+Datos!AF15)/(Datos!K15+Datos!AE15)))*11)/factor_trimestre),((IF(D_I="SI",Datos!L15/Datos!K15,(Datos!L15+Datos!AF15)/(Datos!K15+Datos!AE15)))*11)/factor_trimestre," - ")</f>
        <v>2.807350096711799</v>
      </c>
      <c r="BI15" s="242">
        <f>IF(ISNUMBER('Resol  Asuntos'!D15/NºAsuntos!G15),'Resol  Asuntos'!D15/NºAsuntos!G15," - ")</f>
        <v>0.12920696324951644</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393</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393</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393</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258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341</v>
      </c>
      <c r="AC18" s="225">
        <f>IF(ISNUMBER(Datos!Q18),Datos!Q18," - ")</f>
        <v>8</v>
      </c>
      <c r="AD18" s="333"/>
      <c r="AE18" s="483"/>
      <c r="AF18" s="331">
        <f>IF(ISNUMBER(Datos!L18),Datos!L18,"-")</f>
        <v>303</v>
      </c>
      <c r="AG18" s="333"/>
      <c r="AH18" s="333"/>
      <c r="AI18" s="333"/>
      <c r="AJ18" s="333"/>
      <c r="AK18" s="333"/>
      <c r="AL18" s="478"/>
      <c r="AM18" s="334">
        <f>IF(ISNUMBER(Datos!R18),Datos!R18," - ")</f>
        <v>15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60</v>
      </c>
      <c r="BD18" s="228">
        <f>IF(ISNUMBER(Datos!N18),Datos!N18," - ")</f>
        <v>205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0.90933333333333333</v>
      </c>
      <c r="BH18" s="259">
        <f>IF(ISNUMBER(((IF(D_I="SI",Datos!L18/Datos!K18,(Datos!L18+Datos!AF18)/(Datos!K18+Datos!AE18)))*11)/factor_trimestre),((IF(D_I="SI",Datos!L18/Datos!K18,(Datos!L18+Datos!AF18)/(Datos!K18+Datos!AE18)))*11)/factor_trimestre," - ")</f>
        <v>2.6656891495601172</v>
      </c>
      <c r="BI18" s="242">
        <f>IF(ISNUMBER('Resol  Asuntos'!D18/NºAsuntos!G18),'Resol  Asuntos'!D18/NºAsuntos!G18," - ")</f>
        <v>0.17595307917888564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2383</v>
      </c>
      <c r="G19" s="895">
        <f>SUBTOTAL(9,G15:G18)</f>
        <v>2620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2926</v>
      </c>
      <c r="AC19" s="896">
        <f t="shared" si="4"/>
        <v>165</v>
      </c>
      <c r="AD19" s="896">
        <f t="shared" si="4"/>
        <v>0</v>
      </c>
      <c r="AE19" s="896">
        <f t="shared" si="4"/>
        <v>0</v>
      </c>
      <c r="AF19" s="896">
        <f t="shared" si="4"/>
        <v>2722</v>
      </c>
      <c r="AG19" s="896">
        <f t="shared" si="4"/>
        <v>0</v>
      </c>
      <c r="AH19" s="896">
        <f t="shared" si="4"/>
        <v>0</v>
      </c>
      <c r="AI19" s="896">
        <f t="shared" si="4"/>
        <v>0</v>
      </c>
      <c r="AJ19" s="896">
        <f t="shared" si="4"/>
        <v>0</v>
      </c>
      <c r="AK19" s="896">
        <f t="shared" si="4"/>
        <v>0</v>
      </c>
      <c r="AL19" s="896">
        <f t="shared" si="4"/>
        <v>0</v>
      </c>
      <c r="AM19" s="896">
        <f t="shared" si="4"/>
        <v>206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394</v>
      </c>
      <c r="BD19" s="896">
        <f t="shared" si="4"/>
        <v>1793</v>
      </c>
      <c r="BE19" s="896">
        <f t="shared" si="4"/>
        <v>0</v>
      </c>
      <c r="BF19" s="896">
        <f t="shared" si="4"/>
        <v>0</v>
      </c>
      <c r="BG19" s="896">
        <f>IF(ISNUMBER(Datos!K19/Datos!J19),Datos!K19/Datos!J19," - ")</f>
        <v>0.97663551401869164</v>
      </c>
      <c r="BH19" s="900">
        <f>IF(ISNUMBER(((Datos!L19/Datos!K19)*11)/factor_trimestre),((Datos!L19/Datos!K19)*11)/factor_trimestre," - ")</f>
        <v>2.7908407382091593</v>
      </c>
      <c r="BI19" s="896">
        <f>SUBTOTAL(9,BI15:BI18)</f>
        <v>0.30516004242840211</v>
      </c>
      <c r="BJ19" s="896">
        <f>SUBTOTAL(9,BJ15:BJ18)</f>
        <v>0</v>
      </c>
      <c r="BK19" s="896">
        <f>SUBTOTAL(9,BK15:BK18)</f>
        <v>0</v>
      </c>
      <c r="BL19" s="896">
        <f>IF(ISNUMBER((I19-AB19+L19)/(F19)),(I19-AB19+L19)/(F19)," - ")</f>
        <v>-1.2278640369282416</v>
      </c>
      <c r="BM19" s="902">
        <f>IF(ISNUMBER((Datos!P19-Datos!Q19)/(Datos!R19-Datos!P19+Datos!Q19)),(Datos!P19-Datos!Q19)/(Datos!R19-Datos!P19+Datos!Q19)," - ")</f>
        <v>-0.2563176895306859</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2498</v>
      </c>
      <c r="G20" s="817">
        <f t="shared" si="6"/>
        <v>2735</v>
      </c>
      <c r="H20" s="819">
        <f t="shared" si="6"/>
        <v>0</v>
      </c>
      <c r="I20" s="817">
        <f t="shared" si="6"/>
        <v>0</v>
      </c>
      <c r="J20" s="819">
        <f t="shared" si="6"/>
        <v>0</v>
      </c>
      <c r="K20" s="819">
        <f t="shared" si="6"/>
        <v>0</v>
      </c>
      <c r="L20" s="878">
        <f t="shared" si="6"/>
        <v>0</v>
      </c>
      <c r="M20" s="878">
        <f t="shared" si="6"/>
        <v>0</v>
      </c>
      <c r="N20" s="878">
        <f t="shared" si="6"/>
        <v>262</v>
      </c>
      <c r="O20" s="878">
        <f t="shared" si="6"/>
        <v>0</v>
      </c>
      <c r="P20" s="878">
        <f t="shared" si="6"/>
        <v>0</v>
      </c>
      <c r="Q20" s="819">
        <f t="shared" si="6"/>
        <v>972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2964</v>
      </c>
      <c r="AC20" s="818">
        <f t="shared" si="7"/>
        <v>1309</v>
      </c>
      <c r="AD20" s="818">
        <f t="shared" si="7"/>
        <v>0</v>
      </c>
      <c r="AE20" s="818">
        <f t="shared" si="7"/>
        <v>0</v>
      </c>
      <c r="AF20" s="825">
        <f t="shared" si="7"/>
        <v>2836</v>
      </c>
      <c r="AG20" s="825">
        <f t="shared" si="7"/>
        <v>0</v>
      </c>
      <c r="AH20" s="825">
        <f t="shared" si="7"/>
        <v>268</v>
      </c>
      <c r="AI20" s="825">
        <f t="shared" si="7"/>
        <v>0</v>
      </c>
      <c r="AJ20" s="818">
        <f t="shared" si="7"/>
        <v>0</v>
      </c>
      <c r="AK20" s="825">
        <f t="shared" si="7"/>
        <v>0</v>
      </c>
      <c r="AL20" s="825">
        <f t="shared" si="7"/>
        <v>0</v>
      </c>
      <c r="AM20" s="825">
        <f t="shared" si="7"/>
        <v>11008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1449</v>
      </c>
      <c r="BD20" s="817">
        <f t="shared" si="7"/>
        <v>3472</v>
      </c>
      <c r="BE20" s="817">
        <f t="shared" si="7"/>
        <v>0</v>
      </c>
      <c r="BF20" s="827">
        <f t="shared" si="7"/>
        <v>0</v>
      </c>
      <c r="BG20" s="912">
        <f>IF(ISNUMBER(Datos!K20/Datos!J20),Datos!K20/Datos!J20," - ")</f>
        <v>1.0720646437994723</v>
      </c>
      <c r="BH20" s="912">
        <f>IF(ISNUMBER(((Datos!L20/Datos!K20)*11)/factor_trimestre),((Datos!L20/Datos!K20)*11)/factor_trimestre," - ")</f>
        <v>3.8777111213659432</v>
      </c>
      <c r="BI20" s="810">
        <f>IF(ISNUMBER(Datos!J20/Datos!I20),Datos!J20/Datos!I20," - ")</f>
        <v>0.69358343817911472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-1.1865492393915131</v>
      </c>
      <c r="BM20" s="886">
        <f>IF(ISNUMBER((Datos!P20-Datos!Q20+R20)/(Datos!R20-Datos!P20+Datos!Q20-R20)),(Datos!P20-Datos!Q20+R20)/(Datos!R20-Datos!P20+Datos!Q20-R20)," - ")</f>
        <v>-2.9704715733803438E-2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261</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1094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262</v>
      </c>
      <c r="D22" s="481"/>
      <c r="E22" s="516">
        <f>IF(ISNUMBER(STDEV(E8:E19)),STDEV(E8:E19),"-")</f>
        <v>3.4576806613039839</v>
      </c>
      <c r="F22" s="550">
        <f>IF(ISNUMBER(STDEV(F8:F19)),STDEV(F8:F19),"-")</f>
        <v>1309.4304105220713</v>
      </c>
      <c r="G22" s="551">
        <f>IF(ISNUMBER(STDEV(G8:G19)),STDEV(G8:G19),"-")</f>
        <v>1279.8708919262131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1443.4882403400452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412.87658135158432</v>
      </c>
      <c r="BD22" s="550"/>
      <c r="BE22" s="550">
        <f>IF(ISNUMBER(STDEV(BE8:BE19)),STDEV(BE8:BE19),"-")</f>
        <v>0</v>
      </c>
      <c r="BF22" s="555">
        <f>IF(ISNUMBER(STDEV(BF8:BF19)),STDEV(BF8:BF19),"-")</f>
        <v>0</v>
      </c>
      <c r="BG22" s="772">
        <f>IF(ISNUMBER(STDEV(BG8:BG19)),STDEV(BG8:BG19),"-")</f>
        <v>0.13405741875356719</v>
      </c>
      <c r="BH22" s="773">
        <f>IF(ISNUMBER(STDEV(BH8:BH19)),STDEV(BH8:BH19),"-")</f>
        <v>2.3136309635050569</v>
      </c>
      <c r="BI22" s="248">
        <f>IF(ISNUMBER(STDEV(BI8:BI19)),STDEV(BI8:BI19),"-")</f>
        <v>8.3429296728757291E-2</v>
      </c>
      <c r="BJ22" s="229" t="str">
        <f>IF(ISNUMBER(BL22/BM22),BL22/BM22," - ")</f>
        <v xml:space="preserve"> - </v>
      </c>
      <c r="BK22" s="574"/>
      <c r="BL22" s="558">
        <f>IF(ISNUMBER(STDEV(BL8:BL19)),STDEV(BL8:BL19),"-")</f>
        <v>0.63457831136453779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421</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259</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260</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rStktEXOCA0VlHVi4AtU1nDDHKkvYvjCw8rGxPmHgB3a94wCCVTp7yFXf+m0cSXupagX2EW0w1QNfxe64sqc0Q==" saltValue="m5mRFLBnFI1RP47WkoHba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EXTREMADURA</v>
      </c>
    </row>
    <row r="2" spans="1:78" ht="16.5" customHeight="1">
      <c r="C2" s="527" t="str">
        <f>Criterios!A10 &amp;"  "&amp;Criterios!B10 &amp; "  " &amp; IF(NOT(ISBLANK(Criterios!A11)),Criterios!A11 &amp;"  "&amp;Criterios!B11,"")</f>
        <v>Provincias  BADAJOZ  Resumenes por Partidos Judiciales  BADAJOZ</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348</v>
      </c>
      <c r="B5" s="271"/>
      <c r="C5" s="1560" t="str">
        <f>"Año:  " &amp;Criterios!B$5 &amp; "          Trimestre   " &amp;Criterios!D$5 &amp; " al " &amp;Criterios!D$6</f>
        <v>Año:  2026          Trimestre   2 al 2</v>
      </c>
      <c r="D5" s="1562" t="s">
        <v>373</v>
      </c>
      <c r="E5" s="1522" t="s">
        <v>547</v>
      </c>
      <c r="F5" s="1557" t="s">
        <v>403</v>
      </c>
      <c r="G5" s="1522" t="s">
        <v>130</v>
      </c>
      <c r="H5" s="1522" t="s">
        <v>577</v>
      </c>
      <c r="I5" s="1522" t="s">
        <v>548</v>
      </c>
      <c r="J5" s="1522" t="s">
        <v>670</v>
      </c>
      <c r="K5" s="1522" t="s">
        <v>549</v>
      </c>
      <c r="L5" s="1522" t="s">
        <v>575</v>
      </c>
      <c r="M5" s="1522" t="s">
        <v>671</v>
      </c>
      <c r="N5" s="1522" t="s">
        <v>574</v>
      </c>
      <c r="O5" s="1522" t="s">
        <v>601</v>
      </c>
      <c r="P5" s="1540" t="s">
        <v>663</v>
      </c>
      <c r="Q5" s="1540" t="s">
        <v>665</v>
      </c>
      <c r="R5" s="1522" t="s">
        <v>581</v>
      </c>
      <c r="S5" s="1522" t="s">
        <v>550</v>
      </c>
      <c r="T5" s="1522" t="s">
        <v>749</v>
      </c>
      <c r="U5" s="1522" t="s">
        <v>750</v>
      </c>
      <c r="V5" s="1543" t="s">
        <v>654</v>
      </c>
      <c r="W5" s="1546" t="s">
        <v>563</v>
      </c>
      <c r="X5" s="1549" t="s">
        <v>564</v>
      </c>
      <c r="Y5" s="1537" t="s">
        <v>582</v>
      </c>
      <c r="Z5" s="1537" t="s">
        <v>602</v>
      </c>
      <c r="AA5" s="1522" t="s">
        <v>554</v>
      </c>
      <c r="AB5" s="1522" t="s">
        <v>565</v>
      </c>
      <c r="AC5" s="1522" t="s">
        <v>566</v>
      </c>
      <c r="AD5" s="1522" t="s">
        <v>520</v>
      </c>
      <c r="AE5" s="1522" t="s">
        <v>672</v>
      </c>
      <c r="AF5" s="1522" t="s">
        <v>179</v>
      </c>
      <c r="AG5" s="1522" t="s">
        <v>567</v>
      </c>
      <c r="AH5" s="1522" t="s">
        <v>555</v>
      </c>
      <c r="AI5" s="1522" t="s">
        <v>556</v>
      </c>
      <c r="AJ5" s="1522" t="s">
        <v>568</v>
      </c>
      <c r="AK5" s="1522" t="s">
        <v>569</v>
      </c>
      <c r="AL5" s="1522" t="s">
        <v>570</v>
      </c>
      <c r="AM5" s="1534" t="s">
        <v>571</v>
      </c>
      <c r="AN5" s="1522" t="s">
        <v>246</v>
      </c>
      <c r="AO5" s="1522" t="s">
        <v>558</v>
      </c>
      <c r="AP5" s="1522" t="s">
        <v>559</v>
      </c>
      <c r="AQ5" s="1522" t="s">
        <v>583</v>
      </c>
      <c r="AR5" s="1522" t="s">
        <v>584</v>
      </c>
      <c r="AS5" s="1522" t="s">
        <v>586</v>
      </c>
      <c r="AT5" s="1522" t="s">
        <v>579</v>
      </c>
      <c r="AU5" s="1522" t="s">
        <v>787</v>
      </c>
      <c r="AV5" s="1522" t="s">
        <v>330</v>
      </c>
      <c r="AW5" s="1522" t="s">
        <v>572</v>
      </c>
      <c r="AX5" s="1522" t="s">
        <v>525</v>
      </c>
      <c r="BU5" s="1522" t="s">
        <v>751</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585</v>
      </c>
      <c r="B9" s="500" t="s">
        <v>243</v>
      </c>
      <c r="C9" s="159" t="str">
        <f>Datos!A9</f>
        <v>Sección Civil del T.I</v>
      </c>
      <c r="D9" s="501"/>
      <c r="E9" s="1163">
        <f>IF(ISNUMBER(Datos!AQ9),Datos!AQ9," - ")</f>
        <v>7</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821</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1070</v>
      </c>
      <c r="AA9" s="331" t="str">
        <f>IF(ISNUMBER(IF(J_V="SI",Datos!L9,Datos!L9+Datos!AB9)-IF(Monitorios="SI",Datos!CD9,0)),
                          IF(J_V="SI",Datos!L9,Datos!L9+Datos!AB9)-IF(Monitorios="SI",Datos!CD9,0),
                          " - ")</f>
        <v xml:space="preserve"> - </v>
      </c>
      <c r="AB9" s="333"/>
      <c r="AC9" s="333"/>
      <c r="AD9" s="483"/>
      <c r="AE9" s="483">
        <f>IF(ISNUMBER(Datos!R9),Datos!R9," - ")</f>
        <v>10384</v>
      </c>
      <c r="AF9" s="228" t="str">
        <f>IF(ISNUMBER(Datos!BV9),Datos!BV9," - ")</f>
        <v xml:space="preserve"> - </v>
      </c>
      <c r="AG9" s="224" t="str">
        <f>IF(ISNUMBER(Datos!DV9),Datos!DV9," - ")</f>
        <v xml:space="preserve"> - </v>
      </c>
      <c r="AH9" s="297"/>
      <c r="AI9" s="226"/>
      <c r="AJ9" s="224">
        <f>IF(ISNUMBER(Datos!M9),Datos!M9," - ")</f>
        <v>920</v>
      </c>
      <c r="AK9" s="228">
        <f>IF(ISNUMBER(Datos!N9),Datos!N9," - ")</f>
        <v>1485</v>
      </c>
      <c r="AL9" s="228" t="str">
        <f>IF(ISNUMBER(Datos!BW9),Datos!BW9," - ")</f>
        <v xml:space="preserve"> - </v>
      </c>
      <c r="AM9" s="227" t="str">
        <f>IF(ISNUMBER(Datos!BX9),Datos!BX9," - ")</f>
        <v xml:space="preserve"> - </v>
      </c>
      <c r="AN9" s="242"/>
      <c r="AO9" s="259">
        <f>IF(ISNUMBER(((NºAsuntos!I9/NºAsuntos!G9)*11)/factor_trimestre),((NºAsuntos!I9/NºAsuntos!G9)*11)/factor_trimestre," - ")</f>
        <v>4.5447437011294536</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-2.3417661995673845E-2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243</v>
      </c>
      <c r="C10" s="7" t="str">
        <f>Datos!A10</f>
        <v>Sección De Violencia sobre la Mujer del TI</v>
      </c>
      <c r="D10" s="507"/>
      <c r="E10" s="1163">
        <f>IF(ISNUMBER(Datos!AQ10),Datos!AQ10," - ")</f>
        <v>2</v>
      </c>
      <c r="F10" s="224">
        <f>IF(ISNUMBER(Datos!L10+Datos!K10-Datos!J10),Datos!L10+Datos!K10-Datos!J10," - ")</f>
        <v>115</v>
      </c>
      <c r="G10" s="224">
        <f>IF(ISNUMBER(Datos!I10),Datos!I10," - ")</f>
        <v>115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38</v>
      </c>
      <c r="Z10" s="617">
        <f>IF(ISNUMBER(Datos!Q10),Datos!Q10," - ")</f>
        <v>8</v>
      </c>
      <c r="AA10" s="331">
        <f>IF(ISNUMBER(Datos!L10),Datos!L10,"-")</f>
        <v>114</v>
      </c>
      <c r="AB10" s="333"/>
      <c r="AC10" s="333"/>
      <c r="AD10" s="483"/>
      <c r="AE10" s="483">
        <f>IF(ISNUMBER(Datos!R10),Datos!R10," - ")</f>
        <v>77</v>
      </c>
      <c r="AF10" s="228" t="str">
        <f>IF(ISNUMBER(Datos!BV10),Datos!BV10," - ")</f>
        <v xml:space="preserve"> - </v>
      </c>
      <c r="AG10" s="224" t="str">
        <f>IF(ISNUMBER(Datos!DV10),Datos!DV10," - ")</f>
        <v xml:space="preserve"> - </v>
      </c>
      <c r="AH10" s="297"/>
      <c r="AI10" s="226"/>
      <c r="AJ10" s="224">
        <f>IF(ISNUMBER(Datos!M10),Datos!M10," - ")</f>
        <v>22</v>
      </c>
      <c r="AK10" s="228">
        <f>IF(ISNUMBER(Datos!N10),Datos!N10," - ")</f>
        <v>14</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4.0540540540540543E-2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1</v>
      </c>
      <c r="B11" s="506" t="s">
        <v>243</v>
      </c>
      <c r="C11" s="7" t="str">
        <f>Datos!A11</f>
        <v xml:space="preserve">Sección de Familia, infancia y capacidad del TI                           </v>
      </c>
      <c r="D11" s="507"/>
      <c r="E11" s="1163">
        <f>IF(ISNUMBER(Datos!AQ11),Datos!AQ11," - ")</f>
        <v>1</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46</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66</v>
      </c>
      <c r="AA11" s="331" t="str">
        <f>IF(ISNUMBER(IF(J_V="SI",Datos!L11,Datos!L11+Datos!AB11)-IF(Monitorios="SI",Datos!CD11,0)),
                          IF(J_V="SI",Datos!L11,Datos!L11+Datos!AB11)-IF(Monitorios="SI",Datos!CD11,0),
                          " - ")</f>
        <v xml:space="preserve"> - </v>
      </c>
      <c r="AB11" s="333"/>
      <c r="AC11" s="333"/>
      <c r="AD11" s="483"/>
      <c r="AE11" s="483">
        <f>IF(ISNUMBER(Datos!R11),Datos!R11," - ")</f>
        <v>317</v>
      </c>
      <c r="AF11" s="228" t="str">
        <f>IF(ISNUMBER(Datos!BV11),Datos!BV11," - ")</f>
        <v xml:space="preserve"> - </v>
      </c>
      <c r="AG11" s="224" t="str">
        <f>IF(ISNUMBER(Datos!DV11),Datos!DV11," - ")</f>
        <v xml:space="preserve"> - </v>
      </c>
      <c r="AH11" s="297"/>
      <c r="AI11" s="226"/>
      <c r="AJ11" s="224">
        <f>IF(ISNUMBER(Datos!M11),Datos!M11," - ")</f>
        <v>113</v>
      </c>
      <c r="AK11" s="228">
        <f>IF(ISNUMBER(Datos!N11),Datos!N11," - ")</f>
        <v>180</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6.1952054794520555</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-5.9347181008902079E-2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243</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0</v>
      </c>
      <c r="AA12" s="331" t="str">
        <f>IF(ISNUMBER(IF(J_V="SI",Datos!L12,Datos!L12+Datos!AB12)-IF(Monitorios="SI",Datos!CD12,0)),
                          IF(J_V="SI",Datos!L12,Datos!L12+Datos!AB12)-IF(Monitorios="SI",Datos!CD12,0),
                          " - ")</f>
        <v xml:space="preserve"> - </v>
      </c>
      <c r="AB12" s="333"/>
      <c r="AC12" s="333"/>
      <c r="AD12" s="483"/>
      <c r="AE12" s="483">
        <f>IF(ISNUMBER(Datos!R12),Datos!R12," - ")</f>
        <v>24</v>
      </c>
      <c r="AF12" s="228" t="str">
        <f>IF(ISNUMBER(Datos!BV12),Datos!BV12," - ")</f>
        <v xml:space="preserve"> - </v>
      </c>
      <c r="AG12" s="224" t="str">
        <f>IF(ISNUMBER(Datos!DV12),Datos!DV12," - ")</f>
        <v xml:space="preserve"> - </v>
      </c>
      <c r="AH12" s="297"/>
      <c r="AI12" s="226"/>
      <c r="AJ12" s="224">
        <f>IF(ISNUMBER(Datos!M12),Datos!M12," - ")</f>
        <v>0</v>
      </c>
      <c r="AK12" s="228">
        <f>IF(ISNUMBER(Datos!N12),Datos!N12," - ")</f>
        <v>0</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10</v>
      </c>
      <c r="F13" s="895">
        <f>SUBTOTAL(9,F8:F12)</f>
        <v>115</v>
      </c>
      <c r="G13" s="895">
        <f>SUBTOTAL(9,G8:G12)</f>
        <v>115</v>
      </c>
      <c r="H13" s="905"/>
      <c r="I13" s="895">
        <f t="shared" ref="I13:N13" si="0">SUBTOTAL(9,I8:I12)</f>
        <v>0</v>
      </c>
      <c r="J13" s="864">
        <f t="shared" si="0"/>
        <v>0</v>
      </c>
      <c r="K13" s="905">
        <f t="shared" si="0"/>
        <v>0</v>
      </c>
      <c r="L13" s="905">
        <f t="shared" si="0"/>
        <v>0</v>
      </c>
      <c r="M13" s="905">
        <f t="shared" si="0"/>
        <v>0</v>
      </c>
      <c r="N13" s="905">
        <f t="shared" si="0"/>
        <v>878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38</v>
      </c>
      <c r="Z13" s="904">
        <f t="shared" si="2"/>
        <v>1144</v>
      </c>
      <c r="AA13" s="897">
        <f t="shared" si="2"/>
        <v>114</v>
      </c>
      <c r="AB13" s="897">
        <f t="shared" si="2"/>
        <v>0</v>
      </c>
      <c r="AC13" s="897">
        <f t="shared" si="2"/>
        <v>0</v>
      </c>
      <c r="AD13" s="897">
        <f t="shared" si="2"/>
        <v>0</v>
      </c>
      <c r="AE13" s="897">
        <f t="shared" si="2"/>
        <v>10802</v>
      </c>
      <c r="AF13" s="905">
        <f t="shared" si="2"/>
        <v>0</v>
      </c>
      <c r="AG13" s="905">
        <f t="shared" si="2"/>
        <v>0</v>
      </c>
      <c r="AH13" s="905">
        <f t="shared" si="2"/>
        <v>0</v>
      </c>
      <c r="AI13" s="905">
        <f t="shared" si="2"/>
        <v>0</v>
      </c>
      <c r="AJ13" s="905">
        <f t="shared" si="2"/>
        <v>1055</v>
      </c>
      <c r="AK13" s="905">
        <f t="shared" si="2"/>
        <v>1679</v>
      </c>
      <c r="AL13" s="905">
        <f t="shared" si="2"/>
        <v>0</v>
      </c>
      <c r="AM13" s="905">
        <f t="shared" si="2"/>
        <v>0</v>
      </c>
      <c r="AN13" s="905">
        <f t="shared" si="2"/>
        <v>0</v>
      </c>
      <c r="AO13" s="901">
        <f>IF(ISNUMBER(((NºAsuntos!I13/NºAsuntos!G13)*11)/factor_trimestre),((NºAsuntos!I13/NºAsuntos!G13)*11)/factor_trimestre," - ")</f>
        <v>4.717684377478192</v>
      </c>
      <c r="AP13" s="907" t="str">
        <f>IF(ISNUMBER(Datos!CI13/Datos!CJ13),Datos!CI13/Datos!CJ13," - ")</f>
        <v xml:space="preserve"> - </v>
      </c>
      <c r="AQ13" s="923">
        <f t="shared" ref="AQ13:AV13" si="3">SUBTOTAL(9,AQ9:AQ12)</f>
        <v>0</v>
      </c>
      <c r="AR13" s="923">
        <f t="shared" si="3"/>
        <v>-4.2224302464035385E-2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393</v>
      </c>
      <c r="C15" s="159" t="str">
        <f>Datos!A15</f>
        <v xml:space="preserve">Seccion Instruccion Del T.I.                   </v>
      </c>
      <c r="D15" s="501"/>
      <c r="E15" s="1163">
        <f>IF(ISNUMBER(Datos!AQ15),Datos!AQ15," - ")</f>
        <v>4</v>
      </c>
      <c r="F15" s="332">
        <f>IF(ISNUMBER(AA15+Y15-Datos!J15-K15),AA15+Y15-Datos!J15-K15," - ")</f>
        <v>2383</v>
      </c>
      <c r="G15" s="224">
        <f>IF(ISNUMBER(IF(D_I="SI",Datos!I15,Datos!I15+Datos!AC15)),IF(D_I="SI",Datos!I15,Datos!I15+Datos!AC15)," - ")</f>
        <v>2362</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89</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2585</v>
      </c>
      <c r="Z15" s="617">
        <f>IF(ISNUMBER(Datos!Q15),Datos!Q15," - ")</f>
        <v>157</v>
      </c>
      <c r="AA15" s="331">
        <f>IF(ISNUMBER(IF(D_I="SI",Datos!L15,Datos!L15+Datos!AF15)),IF(D_I="SI",Datos!L15,Datos!L15+Datos!AF15)," - ")</f>
        <v>2419</v>
      </c>
      <c r="AB15" s="333"/>
      <c r="AC15" s="333"/>
      <c r="AD15" s="483"/>
      <c r="AE15" s="483">
        <f>IF(ISNUMBER(Datos!R15),Datos!R15," - ")</f>
        <v>191</v>
      </c>
      <c r="AF15" s="228" t="str">
        <f>IF(ISNUMBER(Datos!BV15),Datos!BV15," - ")</f>
        <v xml:space="preserve"> - </v>
      </c>
      <c r="AG15" s="224"/>
      <c r="AH15" s="297"/>
      <c r="AI15" s="226"/>
      <c r="AJ15" s="224">
        <f>IF(ISNUMBER(Datos!M15),Datos!M15," - ")</f>
        <v>334</v>
      </c>
      <c r="AK15" s="228">
        <f>IF(ISNUMBER(Datos!N15),Datos!N15," - ")</f>
        <v>1588</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2.807350096711799</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393</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393</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393</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258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5</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341</v>
      </c>
      <c r="Z18" s="617">
        <f>IF(ISNUMBER(Datos!Q18),Datos!Q18," - ")</f>
        <v>8</v>
      </c>
      <c r="AA18" s="331">
        <f>IF(ISNUMBER(Datos!L18),Datos!L18,"-")</f>
        <v>303</v>
      </c>
      <c r="AB18" s="333"/>
      <c r="AC18" s="333"/>
      <c r="AD18" s="483"/>
      <c r="AE18" s="483">
        <f>IF(ISNUMBER(Datos!R18),Datos!R18," - ")</f>
        <v>15</v>
      </c>
      <c r="AF18" s="228" t="str">
        <f>IF(ISNUMBER(Datos!BV18),Datos!BV18," - ")</f>
        <v xml:space="preserve"> - </v>
      </c>
      <c r="AG18" s="224" t="str">
        <f>IF(ISNUMBER(Datos!DV18),Datos!DV18," - ")</f>
        <v xml:space="preserve"> - </v>
      </c>
      <c r="AH18" s="297"/>
      <c r="AI18" s="226"/>
      <c r="AJ18" s="224">
        <f>IF(ISNUMBER(Datos!M18),Datos!M18," - ")</f>
        <v>60</v>
      </c>
      <c r="AK18" s="228">
        <f>IF(ISNUMBER(Datos!N18),Datos!N18," - ")</f>
        <v>205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2.6656891495601172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2383</v>
      </c>
      <c r="G19" s="895">
        <f>SUBTOTAL(9,G15:G18)</f>
        <v>2620</v>
      </c>
      <c r="H19" s="927">
        <f>SUBTOTAL(9,H15:H18)</f>
        <v>0</v>
      </c>
      <c r="I19" s="908">
        <f>SUBTOTAL(9,I15:I18)</f>
        <v>0</v>
      </c>
      <c r="J19" s="864">
        <f>SUBTOTAL(9,J14:J18)</f>
        <v>0</v>
      </c>
      <c r="K19" s="927">
        <f t="shared" ref="K19:S19" si="4">SUBTOTAL(9,K15:K18)</f>
        <v>0</v>
      </c>
      <c r="L19" s="927">
        <f t="shared" si="4"/>
        <v>0</v>
      </c>
      <c r="M19" s="927">
        <f t="shared" si="4"/>
        <v>0</v>
      </c>
      <c r="N19" s="927">
        <f t="shared" si="4"/>
        <v>94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2926</v>
      </c>
      <c r="Z19" s="927">
        <f t="shared" si="5"/>
        <v>165</v>
      </c>
      <c r="AA19" s="927">
        <f t="shared" si="5"/>
        <v>2722</v>
      </c>
      <c r="AB19" s="927">
        <f t="shared" si="5"/>
        <v>0</v>
      </c>
      <c r="AC19" s="927">
        <f t="shared" si="5"/>
        <v>0</v>
      </c>
      <c r="AD19" s="927">
        <f t="shared" si="5"/>
        <v>0</v>
      </c>
      <c r="AE19" s="927">
        <f t="shared" si="5"/>
        <v>206</v>
      </c>
      <c r="AF19" s="927">
        <f t="shared" si="5"/>
        <v>0</v>
      </c>
      <c r="AG19" s="927">
        <f t="shared" si="5"/>
        <v>0</v>
      </c>
      <c r="AH19" s="927">
        <f t="shared" si="5"/>
        <v>0</v>
      </c>
      <c r="AI19" s="927">
        <f t="shared" si="5"/>
        <v>0</v>
      </c>
      <c r="AJ19" s="927">
        <f t="shared" si="5"/>
        <v>394</v>
      </c>
      <c r="AK19" s="927">
        <f t="shared" si="5"/>
        <v>1793</v>
      </c>
      <c r="AL19" s="927">
        <f t="shared" si="5"/>
        <v>0</v>
      </c>
      <c r="AM19" s="927">
        <f t="shared" si="5"/>
        <v>0</v>
      </c>
      <c r="AN19" s="927">
        <f t="shared" si="5"/>
        <v>0</v>
      </c>
      <c r="AO19" s="929">
        <f>IF(ISNUMBER(((NºAsuntos!I19/NºAsuntos!G19)*11)/factor_trimestre),((NºAsuntos!I19/NºAsuntos!G19)*11)/factor_trimestre," - ")</f>
        <v>2.7908407382091593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2498</v>
      </c>
      <c r="G20" s="817">
        <f t="shared" si="7"/>
        <v>2735</v>
      </c>
      <c r="H20" s="818">
        <f t="shared" si="7"/>
        <v>0</v>
      </c>
      <c r="I20" s="817">
        <f t="shared" si="7"/>
        <v>0</v>
      </c>
      <c r="J20" s="819">
        <f t="shared" si="7"/>
        <v>0</v>
      </c>
      <c r="K20" s="817">
        <f t="shared" si="7"/>
        <v>0</v>
      </c>
      <c r="L20" s="820">
        <f t="shared" si="7"/>
        <v>0</v>
      </c>
      <c r="M20" s="817">
        <f t="shared" si="7"/>
        <v>0</v>
      </c>
      <c r="N20" s="818">
        <f t="shared" si="7"/>
        <v>972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2964</v>
      </c>
      <c r="Z20" s="824">
        <f t="shared" si="8"/>
        <v>1309</v>
      </c>
      <c r="AA20" s="825">
        <f t="shared" si="8"/>
        <v>2836</v>
      </c>
      <c r="AB20" s="825">
        <f t="shared" si="8"/>
        <v>0</v>
      </c>
      <c r="AC20" s="825">
        <f t="shared" si="8"/>
        <v>0</v>
      </c>
      <c r="AD20" s="826">
        <f t="shared" si="8"/>
        <v>0</v>
      </c>
      <c r="AE20" s="826">
        <f t="shared" si="8"/>
        <v>11008</v>
      </c>
      <c r="AF20" s="827">
        <f t="shared" si="8"/>
        <v>0</v>
      </c>
      <c r="AG20" s="828">
        <f t="shared" si="8"/>
        <v>0</v>
      </c>
      <c r="AH20" s="829">
        <f t="shared" si="8"/>
        <v>0</v>
      </c>
      <c r="AI20" s="827">
        <f t="shared" si="8"/>
        <v>0</v>
      </c>
      <c r="AJ20" s="817">
        <f t="shared" si="8"/>
        <v>1449</v>
      </c>
      <c r="AK20" s="817">
        <f t="shared" si="8"/>
        <v>3472</v>
      </c>
      <c r="AL20" s="817">
        <f t="shared" si="8"/>
        <v>0</v>
      </c>
      <c r="AM20" s="830">
        <f t="shared" si="8"/>
        <v>0</v>
      </c>
      <c r="AN20" s="820">
        <f>IF(ISNUMBER(Datos!K20/Datos!J20),Datos!K20/Datos!J20," - ")</f>
        <v>1.0720646437994723</v>
      </c>
      <c r="AO20" s="820">
        <f>IF(ISNUMBER(FIND("06",Criterios!A8,1)),(IF(ISNUMBER(((Datos!R20/Datos!Q20)*11)/factor_trimestre),((Datos!R20/Datos!Q20)*11)/factor_trimestre," - ")),(IF(ISNUMBER(((Datos!L20/Datos!K20)*11)/factor_trimestre),((Datos!L20/Datos!K20)*11)/factor_trimestre," - ")))</f>
        <v>3.8777111213659432</v>
      </c>
      <c r="AP20" s="831" t="str">
        <f>IF(ISNUMBER(Datos!CI20/Datos!CJ20),Datos!CI20/Datos!CJ20," - ")</f>
        <v xml:space="preserve"> - </v>
      </c>
      <c r="AQ20" s="831">
        <f>IF(OR(ISNUMBER(FIND("01",Criterios!A8,1)),ISNUMBER(FIND("02",Criterios!A8,1)),ISNUMBER(FIND("03",Criterios!A8,1)),ISNUMBER(FIND("04",Criterios!A8,1))),(J20-Y20+K20)/(F20-K20),(I20-Y20+K20)/(F20-K20))</f>
        <v>-1.1865492393915131</v>
      </c>
      <c r="AR20" s="831">
        <f>IF(ISNUMBER((Datos!P20-Datos!Q20+O20)/(Datos!R20-Datos!P20+Datos!Q20-O20)),(Datos!P20-Datos!Q20+O20)/(Datos!R20-Datos!P20+Datos!Q20-O20)," - ")</f>
        <v>-2.9704715733803438E-2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261</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1094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262</v>
      </c>
      <c r="D22" s="340"/>
      <c r="E22" s="579"/>
      <c r="F22" s="251">
        <f>IF(ISNUMBER(STDEV(F8:F19)),STDEV(F8:F19),"-")</f>
        <v>1309.4304105220713</v>
      </c>
      <c r="G22" s="551">
        <f>IF(ISNUMBER(STDEV(G8:G19)),STDEV(G8:G19),"-")</f>
        <v>1279.8708919262131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412.87658135158432</v>
      </c>
      <c r="AK22" s="251"/>
      <c r="AL22" s="251">
        <f>IF(ISNUMBER(STDEV(AL8:AL19)),STDEV(AL8:AL19),"-")</f>
        <v>0</v>
      </c>
      <c r="AM22" s="253">
        <f>IF(ISNUMBER(STDEV(AM8:AM19)),STDEV(AM8:AM19),"-")</f>
        <v>0</v>
      </c>
      <c r="AN22" s="538">
        <f>IF(ISNUMBER(STDEV(AN8:AN19)),STDEV(AN8:AN19),"-")</f>
        <v>0</v>
      </c>
      <c r="AO22" s="539">
        <f>IF(ISNUMBER(STDEV(AO8:AO19)),STDEV(AO8:AO19),"-")</f>
        <v>2.313400779569931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259</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260</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lfelifugnJkr93dTvfKPGhG73PUcRLimr6vFlDi258rah/pdk3/yqVncMBXcjlYyQk48PuMvo7gn/QI4565ngA==" saltValue="Q4fd78vzrEnuNietxsymX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615</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616</v>
      </c>
      <c r="B4" s="1570" t="s">
        <v>718</v>
      </c>
      <c r="C4" s="1570" t="s">
        <v>617</v>
      </c>
      <c r="D4" s="1570" t="s">
        <v>678</v>
      </c>
      <c r="E4" s="1572" t="s">
        <v>679</v>
      </c>
      <c r="F4" s="1570" t="s">
        <v>618</v>
      </c>
      <c r="G4" s="1572" t="s">
        <v>449</v>
      </c>
      <c r="H4" s="1565" t="s">
        <v>619</v>
      </c>
      <c r="I4" s="1565" t="s">
        <v>620</v>
      </c>
      <c r="J4" s="1565" t="s">
        <v>621</v>
      </c>
      <c r="K4" s="1567" t="s">
        <v>269</v>
      </c>
      <c r="L4" s="1568"/>
      <c r="M4" s="1568"/>
      <c r="N4" s="1569"/>
      <c r="O4" s="1567" t="s">
        <v>444</v>
      </c>
      <c r="P4" s="1568"/>
      <c r="Q4" s="1568"/>
      <c r="R4" s="1569"/>
    </row>
    <row r="5" spans="1:18" ht="27.75" customHeight="1" thickBot="1">
      <c r="A5" s="1571"/>
      <c r="B5" s="1571"/>
      <c r="C5" s="1571"/>
      <c r="D5" s="1571"/>
      <c r="E5" s="1571"/>
      <c r="F5" s="1571"/>
      <c r="G5" s="1571"/>
      <c r="H5" s="1566"/>
      <c r="I5" s="1566"/>
      <c r="J5" s="1566"/>
      <c r="K5" s="843" t="s">
        <v>445</v>
      </c>
      <c r="L5" s="843" t="s">
        <v>446</v>
      </c>
      <c r="M5" s="843" t="s">
        <v>447</v>
      </c>
      <c r="N5" s="843" t="s">
        <v>448</v>
      </c>
      <c r="O5" s="844" t="s">
        <v>445</v>
      </c>
      <c r="P5" s="843" t="s">
        <v>446</v>
      </c>
      <c r="Q5" s="843" t="s">
        <v>447</v>
      </c>
      <c r="R5" s="843" t="s">
        <v>448</v>
      </c>
    </row>
  </sheetData>
  <sheetProtection algorithmName="SHA-512" hashValue="X3JzuuhqnZpTgOieJr4Y6gVGdVqjen6yexKvhIVPiMYqLRoWBPGF60DtbSkFxFdQYafWH4ok9ZPKJ2jJN4I43g==" saltValue="QrFwIEOHAbmj1SFACD9s7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395</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155</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137</v>
      </c>
      <c r="BB1" s="50" t="s">
        <v>146</v>
      </c>
      <c r="BC1" s="31" t="s">
        <v>214</v>
      </c>
      <c r="BD1" s="30" t="s">
        <v>150</v>
      </c>
      <c r="BE1" s="50" t="s">
        <v>153</v>
      </c>
      <c r="BF1" s="31" t="s">
        <v>154</v>
      </c>
      <c r="BG1" s="30" t="s">
        <v>209</v>
      </c>
      <c r="BH1" s="50" t="s">
        <v>210</v>
      </c>
      <c r="BI1" s="31" t="s">
        <v>217</v>
      </c>
      <c r="BJ1" s="30" t="s">
        <v>228</v>
      </c>
      <c r="BK1" s="50" t="s">
        <v>231</v>
      </c>
      <c r="BL1" s="31" t="s">
        <v>232</v>
      </c>
      <c r="BM1" s="30" t="s">
        <v>237</v>
      </c>
      <c r="BN1" s="50" t="s">
        <v>253</v>
      </c>
      <c r="BO1" s="31" t="s">
        <v>254</v>
      </c>
      <c r="BP1" s="30" t="s">
        <v>255</v>
      </c>
      <c r="BQ1" s="50" t="s">
        <v>257</v>
      </c>
      <c r="BR1" s="31" t="s">
        <v>263</v>
      </c>
      <c r="BS1" s="30" t="s">
        <v>264</v>
      </c>
      <c r="BT1" s="50" t="s">
        <v>265</v>
      </c>
      <c r="BU1" s="31" t="s">
        <v>279</v>
      </c>
      <c r="BV1" s="30" t="s">
        <v>280</v>
      </c>
      <c r="BW1" s="50" t="s">
        <v>281</v>
      </c>
      <c r="BX1" s="31" t="s">
        <v>286</v>
      </c>
      <c r="BY1" s="30" t="s">
        <v>288</v>
      </c>
      <c r="BZ1" s="50" t="s">
        <v>293</v>
      </c>
      <c r="CA1" s="31" t="s">
        <v>294</v>
      </c>
      <c r="CB1" s="30" t="s">
        <v>347</v>
      </c>
      <c r="CC1" s="50" t="s">
        <v>349</v>
      </c>
      <c r="CD1" s="31" t="s">
        <v>351</v>
      </c>
      <c r="CE1" s="30" t="s">
        <v>361</v>
      </c>
      <c r="CF1" s="50" t="s">
        <v>362</v>
      </c>
      <c r="CG1" s="31" t="s">
        <v>363</v>
      </c>
      <c r="CH1" s="30" t="s">
        <v>364</v>
      </c>
      <c r="CI1" s="50" t="s">
        <v>387</v>
      </c>
      <c r="CJ1" s="31" t="s">
        <v>389</v>
      </c>
      <c r="CK1" s="30" t="s">
        <v>227</v>
      </c>
      <c r="CL1" s="50" t="s">
        <v>313</v>
      </c>
      <c r="CM1" s="31" t="s">
        <v>316</v>
      </c>
      <c r="CN1" s="30" t="s">
        <v>331</v>
      </c>
      <c r="CO1" s="50" t="s">
        <v>332</v>
      </c>
      <c r="CP1" s="31" t="s">
        <v>341</v>
      </c>
      <c r="CQ1" s="30" t="s">
        <v>342</v>
      </c>
      <c r="CR1" s="31" t="s">
        <v>343</v>
      </c>
      <c r="CS1" s="30" t="s">
        <v>164</v>
      </c>
      <c r="CT1" s="31" t="s">
        <v>183</v>
      </c>
      <c r="CU1" s="30" t="s">
        <v>184</v>
      </c>
      <c r="CV1" s="31" t="s">
        <v>185</v>
      </c>
      <c r="CW1" s="30" t="s">
        <v>186</v>
      </c>
      <c r="CX1" s="31" t="s">
        <v>187</v>
      </c>
      <c r="CY1" s="30" t="s">
        <v>188</v>
      </c>
      <c r="CZ1" s="31" t="s">
        <v>189</v>
      </c>
      <c r="DA1" s="30" t="s">
        <v>190</v>
      </c>
      <c r="DB1" s="31" t="s">
        <v>191</v>
      </c>
      <c r="DC1" s="30" t="s">
        <v>195</v>
      </c>
      <c r="DD1" s="31" t="s">
        <v>196</v>
      </c>
      <c r="DE1" s="30" t="s">
        <v>405</v>
      </c>
      <c r="DF1" s="31" t="s">
        <v>43</v>
      </c>
      <c r="DG1" s="30" t="s">
        <v>443</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270</v>
      </c>
      <c r="CF4" s="1469"/>
      <c r="CG4" s="1469"/>
      <c r="CH4" s="1470"/>
    </row>
    <row r="5" spans="1:156" ht="12.75" customHeight="1" thickBot="1">
      <c r="A5" s="1438" t="str">
        <f>"Año:  " &amp;Criterios!B5 &amp; "                  Trimestre   " &amp;Criterios!D5 &amp; " al " &amp;Criterios!D6</f>
        <v>Año:  2026                  Trimestre   2 al 2</v>
      </c>
      <c r="B5" s="1440" t="s">
        <v>396</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151</v>
      </c>
      <c r="AT5" s="1424" t="s">
        <v>152</v>
      </c>
      <c r="AU5" s="1424" t="s">
        <v>235</v>
      </c>
      <c r="AV5" s="1424" t="s">
        <v>233</v>
      </c>
      <c r="AW5" s="1424" t="s">
        <v>236</v>
      </c>
      <c r="AX5" s="1424" t="s">
        <v>234</v>
      </c>
      <c r="AY5" s="1432" t="s">
        <v>108</v>
      </c>
      <c r="AZ5" s="1433"/>
      <c r="BA5" s="1433"/>
      <c r="BB5" s="1433"/>
      <c r="BC5" s="1434"/>
      <c r="BD5" s="1432" t="s">
        <v>109</v>
      </c>
      <c r="BE5" s="1474"/>
      <c r="BF5" s="1474"/>
      <c r="BG5" s="1475"/>
      <c r="BH5" s="1421" t="s">
        <v>144</v>
      </c>
      <c r="BI5" s="1421" t="s">
        <v>145</v>
      </c>
      <c r="BJ5" s="1429" t="s">
        <v>208</v>
      </c>
      <c r="BK5" s="1482" t="s">
        <v>211</v>
      </c>
      <c r="BL5" s="1482" t="s">
        <v>218</v>
      </c>
      <c r="BM5" s="1426" t="s">
        <v>314</v>
      </c>
      <c r="BN5" s="1330" t="s">
        <v>198</v>
      </c>
      <c r="BO5" s="1331"/>
      <c r="BP5" s="1330" t="s">
        <v>199</v>
      </c>
      <c r="BQ5" s="1331"/>
      <c r="BR5" s="1330" t="s">
        <v>200</v>
      </c>
      <c r="BS5" s="1331"/>
      <c r="BT5" s="1330" t="s">
        <v>201</v>
      </c>
      <c r="BU5" s="1331"/>
      <c r="BV5" s="1479" t="s">
        <v>269</v>
      </c>
      <c r="BW5" s="1485" t="s">
        <v>249</v>
      </c>
      <c r="BX5" s="1485" t="s">
        <v>250</v>
      </c>
      <c r="BY5" s="1471" t="s">
        <v>256</v>
      </c>
      <c r="BZ5" s="1471" t="s">
        <v>346</v>
      </c>
      <c r="CA5" s="1399" t="s">
        <v>285</v>
      </c>
      <c r="CB5" s="1399" t="s">
        <v>276</v>
      </c>
      <c r="CC5" s="1399" t="s">
        <v>277</v>
      </c>
      <c r="CD5" s="1399" t="s">
        <v>278</v>
      </c>
      <c r="CE5" s="1411" t="s">
        <v>289</v>
      </c>
      <c r="CF5" s="1411" t="s">
        <v>268</v>
      </c>
      <c r="CG5" s="1411" t="s">
        <v>266</v>
      </c>
      <c r="CH5" s="1411" t="s">
        <v>267</v>
      </c>
      <c r="CI5" s="1393" t="s">
        <v>291</v>
      </c>
      <c r="CJ5" s="1393" t="s">
        <v>292</v>
      </c>
      <c r="CK5" s="1396" t="s">
        <v>422</v>
      </c>
      <c r="CL5" s="1396" t="s">
        <v>423</v>
      </c>
      <c r="CM5" s="1396" t="s">
        <v>440</v>
      </c>
      <c r="CN5" s="1412" t="s">
        <v>367</v>
      </c>
      <c r="CO5" s="1412" t="s">
        <v>360</v>
      </c>
      <c r="CP5" s="1412" t="s">
        <v>366</v>
      </c>
      <c r="CQ5" s="1415" t="s">
        <v>365</v>
      </c>
      <c r="CR5" s="1415" t="s">
        <v>365</v>
      </c>
      <c r="CS5" s="1411" t="s">
        <v>385</v>
      </c>
      <c r="CT5" s="1411" t="s">
        <v>388</v>
      </c>
      <c r="CU5" s="1411" t="s">
        <v>226</v>
      </c>
      <c r="CV5" s="1411" t="s">
        <v>310</v>
      </c>
      <c r="CW5" s="1411" t="s">
        <v>330</v>
      </c>
      <c r="CX5" s="1411" t="s">
        <v>337</v>
      </c>
      <c r="CY5" s="1411" t="s">
        <v>433</v>
      </c>
      <c r="CZ5" s="1411" t="s">
        <v>434</v>
      </c>
      <c r="DA5" s="1411" t="s">
        <v>435</v>
      </c>
      <c r="DB5" s="1408" t="s">
        <v>192</v>
      </c>
      <c r="DC5" s="1408" t="s">
        <v>193</v>
      </c>
      <c r="DD5" s="1408" t="s">
        <v>194</v>
      </c>
      <c r="DE5" s="1418" t="s">
        <v>165</v>
      </c>
      <c r="DF5" s="1418" t="s">
        <v>404</v>
      </c>
      <c r="DG5" s="1411" t="s">
        <v>441</v>
      </c>
      <c r="DH5" s="1396" t="s">
        <v>422</v>
      </c>
      <c r="DI5" s="1396" t="s">
        <v>423</v>
      </c>
      <c r="DJ5" s="1396" t="s">
        <v>439</v>
      </c>
      <c r="DK5" s="1396" t="s">
        <v>473</v>
      </c>
      <c r="DL5" s="1396" t="s">
        <v>477</v>
      </c>
      <c r="DM5" s="1488" t="s">
        <v>517</v>
      </c>
      <c r="DN5" s="1488" t="s">
        <v>518</v>
      </c>
      <c r="DO5" s="1488" t="s">
        <v>519</v>
      </c>
      <c r="DP5" s="1488" t="s">
        <v>520</v>
      </c>
      <c r="DQ5" s="1488" t="s">
        <v>521</v>
      </c>
      <c r="DR5" s="1488" t="s">
        <v>522</v>
      </c>
      <c r="DS5" s="1488" t="s">
        <v>523</v>
      </c>
      <c r="DT5" s="1488" t="s">
        <v>524</v>
      </c>
      <c r="DU5" s="1489" t="s">
        <v>525</v>
      </c>
      <c r="DV5" s="1489" t="s">
        <v>526</v>
      </c>
      <c r="DW5" s="1498" t="s">
        <v>527</v>
      </c>
      <c r="DX5" s="1488" t="s">
        <v>528</v>
      </c>
      <c r="DY5" s="1495" t="s">
        <v>529</v>
      </c>
      <c r="DZ5" s="1498" t="s">
        <v>530</v>
      </c>
      <c r="EA5" s="1495" t="s">
        <v>531</v>
      </c>
      <c r="EB5" s="1492" t="s">
        <v>575</v>
      </c>
      <c r="EC5" s="1492" t="s">
        <v>576</v>
      </c>
      <c r="ED5" s="1492" t="s">
        <v>577</v>
      </c>
      <c r="EE5" s="1492" t="s">
        <v>610</v>
      </c>
      <c r="EF5" s="1492" t="s">
        <v>614</v>
      </c>
      <c r="EG5" s="1495" t="s">
        <v>612</v>
      </c>
      <c r="EH5" s="1495" t="s">
        <v>613</v>
      </c>
      <c r="EI5" s="1495" t="s">
        <v>579</v>
      </c>
      <c r="EJ5" s="1495" t="s">
        <v>580</v>
      </c>
      <c r="EK5" s="1504" t="s">
        <v>657</v>
      </c>
      <c r="EL5" s="1507" t="s">
        <v>673</v>
      </c>
      <c r="EM5" s="1508"/>
      <c r="EN5" s="1509"/>
      <c r="EO5" s="1408" t="s">
        <v>725</v>
      </c>
      <c r="EP5" s="1408" t="s">
        <v>727</v>
      </c>
      <c r="EQ5" s="1408" t="s">
        <v>728</v>
      </c>
      <c r="ER5" s="1408" t="s">
        <v>736</v>
      </c>
      <c r="ES5" s="1408" t="s">
        <v>738</v>
      </c>
      <c r="ET5" s="1501" t="s">
        <v>770</v>
      </c>
      <c r="EU5" s="1501" t="s">
        <v>771</v>
      </c>
      <c r="EV5" s="1405" t="s">
        <v>786</v>
      </c>
      <c r="EW5" s="1405" t="s">
        <v>791</v>
      </c>
      <c r="EX5" s="1402" t="s">
        <v>802</v>
      </c>
      <c r="EY5" s="1390" t="s">
        <v>807</v>
      </c>
      <c r="EZ5" s="1387" t="s">
        <v>850</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158</v>
      </c>
      <c r="BO6" s="1328" t="s">
        <v>159</v>
      </c>
      <c r="BP6" s="1328" t="s">
        <v>158</v>
      </c>
      <c r="BQ6" s="1328" t="s">
        <v>159</v>
      </c>
      <c r="BR6" s="1328" t="s">
        <v>158</v>
      </c>
      <c r="BS6" s="1328" t="s">
        <v>159</v>
      </c>
      <c r="BT6" s="1328" t="s">
        <v>158</v>
      </c>
      <c r="BU6" s="1328" t="s">
        <v>159</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724</v>
      </c>
      <c r="B7" s="1442"/>
      <c r="C7" s="1445"/>
      <c r="D7" s="66" t="s">
        <v>397</v>
      </c>
      <c r="E7" s="67" t="s">
        <v>128</v>
      </c>
      <c r="F7" s="67" t="s">
        <v>127</v>
      </c>
      <c r="G7" s="121" t="s">
        <v>35</v>
      </c>
      <c r="H7" s="122" t="s">
        <v>398</v>
      </c>
      <c r="I7" s="9" t="s">
        <v>18</v>
      </c>
      <c r="J7" s="10" t="s">
        <v>13</v>
      </c>
      <c r="K7" s="10" t="s">
        <v>9</v>
      </c>
      <c r="L7" s="11" t="s">
        <v>19</v>
      </c>
      <c r="M7" s="9" t="s">
        <v>7</v>
      </c>
      <c r="N7" s="10" t="s">
        <v>8</v>
      </c>
      <c r="O7" s="158" t="s">
        <v>220</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674</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399</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450</v>
      </c>
      <c r="DI8" s="50" t="s">
        <v>451</v>
      </c>
      <c r="DJ8" s="469" t="s">
        <v>452</v>
      </c>
      <c r="DK8" s="469" t="s">
        <v>474</v>
      </c>
      <c r="DL8" s="469" t="s">
        <v>475</v>
      </c>
      <c r="DM8" s="469" t="s">
        <v>532</v>
      </c>
      <c r="DN8" s="469" t="s">
        <v>533</v>
      </c>
      <c r="DO8" s="469" t="s">
        <v>534</v>
      </c>
      <c r="DP8" s="469" t="s">
        <v>535</v>
      </c>
      <c r="DQ8" s="469" t="s">
        <v>536</v>
      </c>
      <c r="DR8" s="469" t="s">
        <v>537</v>
      </c>
      <c r="DS8" s="469" t="s">
        <v>538</v>
      </c>
      <c r="DT8" s="469" t="s">
        <v>539</v>
      </c>
      <c r="DU8" s="473" t="s">
        <v>540</v>
      </c>
      <c r="DV8" s="469" t="s">
        <v>541</v>
      </c>
      <c r="DW8" s="469" t="s">
        <v>542</v>
      </c>
      <c r="DX8" s="469" t="s">
        <v>543</v>
      </c>
      <c r="DY8" s="469" t="s">
        <v>544</v>
      </c>
      <c r="DZ8" s="469" t="s">
        <v>545</v>
      </c>
      <c r="EA8" s="469" t="s">
        <v>546</v>
      </c>
      <c r="EB8" s="469" t="s">
        <v>587</v>
      </c>
      <c r="EC8" s="469" t="s">
        <v>588</v>
      </c>
      <c r="ED8" s="469" t="s">
        <v>589</v>
      </c>
      <c r="EE8" s="469" t="s">
        <v>590</v>
      </c>
      <c r="EF8" s="469" t="s">
        <v>591</v>
      </c>
      <c r="EG8" s="469" t="s">
        <v>592</v>
      </c>
      <c r="EH8" s="469" t="s">
        <v>593</v>
      </c>
      <c r="EI8" s="469" t="s">
        <v>594</v>
      </c>
      <c r="EJ8" s="469" t="s">
        <v>595</v>
      </c>
      <c r="EK8" s="469" t="s">
        <v>658</v>
      </c>
      <c r="EL8" s="639" t="s">
        <v>675</v>
      </c>
      <c r="EM8" s="639" t="s">
        <v>676</v>
      </c>
      <c r="EN8" s="639" t="s">
        <v>677</v>
      </c>
      <c r="EO8" s="50" t="s">
        <v>726</v>
      </c>
      <c r="EP8" s="50" t="s">
        <v>731</v>
      </c>
      <c r="EQ8" s="50" t="s">
        <v>732</v>
      </c>
      <c r="ER8" s="50" t="s">
        <v>737</v>
      </c>
      <c r="ES8" s="469" t="s">
        <v>739</v>
      </c>
      <c r="ET8" s="1136" t="s">
        <v>772</v>
      </c>
      <c r="EU8" s="1136" t="s">
        <v>773</v>
      </c>
      <c r="EV8" s="151" t="s">
        <v>780</v>
      </c>
      <c r="EW8" s="151">
        <v>153</v>
      </c>
      <c r="EX8" s="469" t="s">
        <v>801</v>
      </c>
      <c r="EY8" s="469" t="s">
        <v>806</v>
      </c>
      <c r="EZ8" s="469" t="s">
        <v>849</v>
      </c>
    </row>
    <row r="9" spans="1:156" ht="14.25" customHeight="1">
      <c r="A9" s="20" t="s">
        <v>45</v>
      </c>
      <c r="B9" s="21" t="s">
        <v>399</v>
      </c>
      <c r="C9" s="22" t="s">
        <v>3</v>
      </c>
      <c r="D9" s="23" t="s">
        <v>20</v>
      </c>
      <c r="E9" s="21" t="s">
        <v>21</v>
      </c>
      <c r="F9" s="21">
        <v>32</v>
      </c>
      <c r="G9" s="6"/>
      <c r="H9" s="136" t="s">
        <v>242</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142</v>
      </c>
      <c r="B10" s="21" t="s">
        <v>399</v>
      </c>
      <c r="C10" s="22" t="s">
        <v>3</v>
      </c>
      <c r="D10" s="23" t="s">
        <v>82</v>
      </c>
      <c r="E10" s="21" t="s">
        <v>82</v>
      </c>
      <c r="F10" s="21" t="s">
        <v>137</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400</v>
      </c>
      <c r="B11" s="21" t="s">
        <v>399</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401</v>
      </c>
      <c r="B12" s="21" t="s">
        <v>399</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399</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399</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402</v>
      </c>
      <c r="B15" s="21" t="s">
        <v>399</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402</v>
      </c>
      <c r="B16" s="21" t="s">
        <v>399</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401</v>
      </c>
      <c r="B17" s="21" t="s">
        <v>399</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142</v>
      </c>
      <c r="B18" s="21" t="s">
        <v>399</v>
      </c>
      <c r="C18" s="22" t="s">
        <v>3</v>
      </c>
      <c r="D18" s="23" t="s">
        <v>82</v>
      </c>
      <c r="E18" s="21" t="s">
        <v>82</v>
      </c>
      <c r="F18" s="21" t="s">
        <v>137</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399</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XC/TXCFAVjDFS8lyWTsXh0Dw7ToGzYTSW6dJxenlErUpt5yZ1ooNxEvL9pkhhdDRGOk3Ecxu7ufZMfIUHGieQ==" saltValue="J4mqpNxydPihZnW61LKt9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BADAJOZ</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348</v>
      </c>
      <c r="B5" s="271"/>
      <c r="C5" s="1290" t="str">
        <f>"Año:  " &amp;Criterios!B$5 &amp; "          Trimestre   " &amp;Criterios!D$5 &amp; " al " &amp;Criterios!D$6</f>
        <v>Año:  2026          Trimestre   2 al 2</v>
      </c>
      <c r="D5" s="1522" t="s">
        <v>373</v>
      </c>
      <c r="E5" s="1522" t="s">
        <v>547</v>
      </c>
      <c r="F5" s="1557" t="s">
        <v>403</v>
      </c>
      <c r="G5" s="1522" t="s">
        <v>130</v>
      </c>
      <c r="H5" s="1522" t="s">
        <v>577</v>
      </c>
      <c r="I5" s="1522" t="s">
        <v>548</v>
      </c>
      <c r="J5" s="1522" t="s">
        <v>651</v>
      </c>
      <c r="K5" s="1522" t="s">
        <v>549</v>
      </c>
      <c r="L5" s="1522" t="s">
        <v>517</v>
      </c>
      <c r="M5" s="1552" t="s">
        <v>575</v>
      </c>
      <c r="N5" s="1522" t="s">
        <v>706</v>
      </c>
      <c r="O5" s="1522" t="s">
        <v>666</v>
      </c>
      <c r="P5" s="1522" t="s">
        <v>165</v>
      </c>
      <c r="Q5" s="1540" t="s">
        <v>663</v>
      </c>
      <c r="R5" s="1540" t="s">
        <v>707</v>
      </c>
      <c r="S5" s="1522" t="s">
        <v>578</v>
      </c>
      <c r="T5" s="1540" t="s">
        <v>550</v>
      </c>
      <c r="U5" s="1540" t="s">
        <v>749</v>
      </c>
      <c r="V5" s="1540" t="s">
        <v>750</v>
      </c>
      <c r="W5" s="1546" t="s">
        <v>600</v>
      </c>
      <c r="X5" s="1549" t="s">
        <v>551</v>
      </c>
      <c r="Y5" s="1546" t="s">
        <v>552</v>
      </c>
      <c r="Z5" s="1546" t="s">
        <v>553</v>
      </c>
      <c r="AA5" s="1522" t="s">
        <v>667</v>
      </c>
      <c r="AB5" s="1522" t="s">
        <v>672</v>
      </c>
      <c r="AC5" s="1522" t="s">
        <v>179</v>
      </c>
      <c r="AD5" s="1528" t="s">
        <v>177</v>
      </c>
      <c r="AE5" s="1522" t="s">
        <v>668</v>
      </c>
      <c r="AF5" s="1531" t="s">
        <v>669</v>
      </c>
      <c r="AG5" s="1525" t="s">
        <v>526</v>
      </c>
      <c r="AH5" s="1522" t="s">
        <v>527</v>
      </c>
      <c r="AI5" s="1522" t="s">
        <v>598</v>
      </c>
      <c r="AJ5" s="1534" t="s">
        <v>599</v>
      </c>
      <c r="AK5" s="1525" t="s">
        <v>180</v>
      </c>
      <c r="AL5" s="1522" t="s">
        <v>557</v>
      </c>
      <c r="AM5" s="1522" t="s">
        <v>244</v>
      </c>
      <c r="AN5" s="1522" t="s">
        <v>245</v>
      </c>
      <c r="AO5" s="1522" t="s">
        <v>246</v>
      </c>
      <c r="AP5" s="1522" t="s">
        <v>558</v>
      </c>
      <c r="AQ5" s="1522" t="s">
        <v>247</v>
      </c>
      <c r="AR5" s="1522" t="s">
        <v>559</v>
      </c>
      <c r="AS5" s="1522" t="s">
        <v>560</v>
      </c>
      <c r="AT5" s="1522" t="s">
        <v>561</v>
      </c>
      <c r="AU5" s="1522" t="s">
        <v>586</v>
      </c>
      <c r="AV5" s="1522" t="s">
        <v>579</v>
      </c>
      <c r="AW5" s="1522" t="s">
        <v>787</v>
      </c>
      <c r="AX5" s="1522" t="s">
        <v>790</v>
      </c>
      <c r="AY5" s="1522" t="s">
        <v>792</v>
      </c>
      <c r="AZ5" s="1522" t="s">
        <v>580</v>
      </c>
      <c r="BA5" s="1522" t="s">
        <v>807</v>
      </c>
      <c r="BB5" s="1522" t="s">
        <v>562</v>
      </c>
      <c r="BC5" s="1522" t="s">
        <v>525</v>
      </c>
      <c r="BW5" s="1522" t="s">
        <v>751</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243</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243</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243</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243</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0.27887919640496961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393</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393</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393</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393</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261</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262</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0.19719737090980904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421</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259</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260</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vgx1Kx9uI+FKFCzcouKBMR02kKKnTBtBbzWwWp4mVvwPQ/pyc65k16Ao4CwrWxW4DCGkehaOyJDuRpn/0dzseg==" saltValue="dnexoDsMTrxvKAeH2Udu5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766</v>
      </c>
    </row>
    <row r="3" spans="2:5" ht="16.5" customHeight="1" thickBot="1">
      <c r="B3" s="1135" t="s">
        <v>767</v>
      </c>
      <c r="C3" s="1135" t="s">
        <v>768</v>
      </c>
      <c r="D3" s="1135" t="s">
        <v>769</v>
      </c>
      <c r="E3" s="1143" t="s">
        <v>774</v>
      </c>
    </row>
  </sheetData>
  <sheetProtection algorithmName="SHA-512" hashValue="xOVd4wCYVLL/ALdBHUbxr2xZXtRIdsXcYlVwqdTF5lW4GMV+fIzpqivKv8iVslFO3Ff1l6kaGqtQUUUQSZDtpw==" saltValue="OG2cUmHgeEg+4m20YT0YI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EXTREMADURA</v>
      </c>
      <c r="W1"/>
      <c r="X1"/>
    </row>
    <row r="2" spans="1:78" ht="16.5" customHeight="1">
      <c r="C2" s="487" t="str">
        <f>Criterios!A10 &amp;"  "&amp;Criterios!B10 &amp; "  " &amp; IF(NOT(ISBLANK(Criterios!A11)),Criterios!A11 &amp;"  "&amp;Criterios!B11,"")</f>
        <v>Provincias  BADAJOZ  Resumenes por Partidos Judiciales  BADAJOZ</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348</v>
      </c>
      <c r="B5" s="271"/>
      <c r="C5" s="1290" t="str">
        <f>"Año:  " &amp;Criterios!B$5 &amp; "          Trimestre   " &amp;Criterios!D$5 &amp; " al " &amp;Criterios!D$6</f>
        <v>Año:  2026          Trimestre   2 al 2</v>
      </c>
      <c r="D5" s="1522" t="s">
        <v>421</v>
      </c>
      <c r="E5" s="1522" t="s">
        <v>547</v>
      </c>
      <c r="F5" s="1557" t="s">
        <v>403</v>
      </c>
      <c r="G5" s="1522" t="s">
        <v>130</v>
      </c>
      <c r="H5" s="1522" t="s">
        <v>680</v>
      </c>
      <c r="I5" s="1522" t="s">
        <v>681</v>
      </c>
      <c r="J5" s="1522" t="s">
        <v>684</v>
      </c>
      <c r="K5" s="1522" t="s">
        <v>685</v>
      </c>
      <c r="L5" s="1522" t="s">
        <v>575</v>
      </c>
      <c r="M5" s="1522" t="s">
        <v>706</v>
      </c>
      <c r="N5" s="1522" t="s">
        <v>686</v>
      </c>
      <c r="O5" s="1522" t="s">
        <v>682</v>
      </c>
      <c r="P5" s="1522" t="s">
        <v>165</v>
      </c>
      <c r="Q5" s="1522" t="s">
        <v>663</v>
      </c>
      <c r="R5" s="1522" t="s">
        <v>707</v>
      </c>
      <c r="S5" s="1522" t="str">
        <f>"Ingreso Computable 2003" &amp; IF(OR(EXACT(LEFT(boletin,2),"04"),EXACT(LEFT(boletin,2),"14"),EXACT(LEFT(boletin,2),"17"))," (Civil + Penal)","")</f>
        <v>Ingreso Computable 2003</v>
      </c>
      <c r="T5" s="1522" t="s">
        <v>683</v>
      </c>
      <c r="U5" s="1540" t="str">
        <f>"% Ingreso Computable 2003" &amp; IF(OR(EXACT(LEFT(boletin,2),"04"),EXACT(LEFT(boletin,2),"14"),EXACT(LEFT(boletin,2),"17"))," (Civil + Penal)","")</f>
        <v>% Ingreso Computable 2003</v>
      </c>
      <c r="V5" s="1540" t="s">
        <v>687</v>
      </c>
      <c r="W5" s="1522" t="s">
        <v>743</v>
      </c>
      <c r="X5" s="1522" t="s">
        <v>744</v>
      </c>
      <c r="Y5" s="1543" t="s">
        <v>654</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688</v>
      </c>
      <c r="AC5" s="1576" t="s">
        <v>689</v>
      </c>
      <c r="AD5" s="1576" t="s">
        <v>690</v>
      </c>
      <c r="AE5" s="1576" t="s">
        <v>691</v>
      </c>
      <c r="AF5" s="1522" t="s">
        <v>692</v>
      </c>
      <c r="AG5" s="1522" t="s">
        <v>693</v>
      </c>
      <c r="AH5" s="1522" t="s">
        <v>694</v>
      </c>
      <c r="AI5" s="1522" t="s">
        <v>695</v>
      </c>
      <c r="AJ5" s="1522" t="s">
        <v>179</v>
      </c>
      <c r="AK5" s="1525" t="s">
        <v>526</v>
      </c>
      <c r="AL5" s="1525" t="s">
        <v>180</v>
      </c>
      <c r="AM5" s="1522" t="s">
        <v>557</v>
      </c>
      <c r="AN5" s="1522" t="s">
        <v>244</v>
      </c>
      <c r="AO5" s="1522" t="s">
        <v>245</v>
      </c>
      <c r="AP5" s="1522" t="s">
        <v>696</v>
      </c>
      <c r="AQ5" s="1522" t="s">
        <v>697</v>
      </c>
      <c r="AR5" s="1522" t="s">
        <v>698</v>
      </c>
      <c r="AS5" s="1522" t="s">
        <v>699</v>
      </c>
      <c r="AT5" s="1522" t="s">
        <v>700</v>
      </c>
      <c r="AU5" s="1522" t="s">
        <v>701</v>
      </c>
      <c r="AV5" s="1522" t="s">
        <v>702</v>
      </c>
      <c r="AW5" s="1522" t="s">
        <v>703</v>
      </c>
      <c r="AX5" s="1522" t="s">
        <v>787</v>
      </c>
      <c r="AY5" s="1522" t="s">
        <v>790</v>
      </c>
      <c r="AZ5" s="1522" t="s">
        <v>704</v>
      </c>
      <c r="BA5" s="1522" t="s">
        <v>705</v>
      </c>
      <c r="BB5" s="1522" t="s">
        <v>525</v>
      </c>
      <c r="BC5" s="1352" t="s">
        <v>712</v>
      </c>
      <c r="BD5" s="1352" t="s">
        <v>713</v>
      </c>
      <c r="BE5" s="1557" t="s">
        <v>714</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7</v>
      </c>
      <c r="B9" s="500" t="s">
        <v>243</v>
      </c>
      <c r="C9" s="159" t="str">
        <f>Datos!A9</f>
        <v>Sección Civil del T.I</v>
      </c>
      <c r="D9" s="501"/>
      <c r="E9" s="679">
        <f>IF(ISNUMBER(Datos!AQ9),Datos!AQ9," - ")</f>
        <v>7</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243</v>
      </c>
      <c r="C10" s="7" t="str">
        <f>Datos!A10</f>
        <v>Sección De Violencia sobre la Mujer del TI</v>
      </c>
      <c r="D10" s="507"/>
      <c r="E10" s="679">
        <f>IF(ISNUMBER(Datos!AQ10),Datos!AQ10," - ")</f>
        <v>2</v>
      </c>
      <c r="F10" s="680">
        <f>IF(ISNUMBER(Datos!L10+Datos!K10-Datos!J10),Datos!L10+Datos!K10-Datos!J10," - ")</f>
        <v>115</v>
      </c>
      <c r="G10" s="681">
        <f>IF(ISNUMBER(Datos!I10),Datos!I10," - ")</f>
        <v>115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38</v>
      </c>
      <c r="AC10" s="680" t="str">
        <f>IF(ISNUMBER(IF(D_I="SI",DatosP!K18,DatosP!K18+DatosP!AE18)),IF(D_I="SI",DatosP!K18,DatosP!K18+DatosP!AE18)," - ")</f>
        <v xml:space="preserve"> - </v>
      </c>
      <c r="AD10" s="682"/>
      <c r="AE10" s="682"/>
      <c r="AF10" s="685">
        <f>IF(ISNUMBER(Datos!L10),Datos!L10,"-")</f>
        <v>114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22</v>
      </c>
      <c r="AM10" s="687">
        <f>IF(ISNUMBER(Datos!N10+DatosP!N18),Datos!N10+DatosP!N18," - ")</f>
        <v>14</v>
      </c>
      <c r="AN10" s="687">
        <f>IF(ISNUMBER(Datos!BW10+DatosP!BW18),Datos!BW10+DatosP!BW18," - ")</f>
        <v>0</v>
      </c>
      <c r="AO10" s="688">
        <f>IF(ISNUMBER(Datos!BX10+DatosP!BX18),Datos!BX10+DatosP!BX18," - ")</f>
        <v>0</v>
      </c>
      <c r="AP10" s="690">
        <f>IF(ISNUMBER(((Datos!L10/Datos!K10)*11)/factor_trimestre),((Datos!L10/Datos!K10)*11)/factor_trimestre," - ")</f>
        <v>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1</v>
      </c>
      <c r="B11" s="506" t="s">
        <v>243</v>
      </c>
      <c r="C11" s="7" t="str">
        <f>Datos!A11</f>
        <v xml:space="preserve">Sección de Familia, infancia y capacidad del TI                           </v>
      </c>
      <c r="D11" s="507"/>
      <c r="E11" s="679">
        <f>IF(ISNUMBER(Datos!AQ11),Datos!AQ11," - ")</f>
        <v>1</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243</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0</v>
      </c>
      <c r="AM12" s="687">
        <f>IF(ISNUMBER(Datos!N12+DatosP!N17),Datos!N12+DatosP!N17," - ")</f>
        <v>0</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10</v>
      </c>
      <c r="F13" s="933">
        <f t="shared" si="0"/>
        <v>115</v>
      </c>
      <c r="G13" s="933">
        <f t="shared" si="0"/>
        <v>115</v>
      </c>
      <c r="H13" s="933">
        <f t="shared" si="0"/>
        <v>0</v>
      </c>
      <c r="I13" s="935">
        <f t="shared" si="0"/>
        <v>0</v>
      </c>
      <c r="J13" s="934">
        <f t="shared" si="0"/>
        <v>0</v>
      </c>
      <c r="K13" s="934">
        <f t="shared" si="0"/>
        <v>0</v>
      </c>
      <c r="L13" s="936">
        <f t="shared" si="0"/>
        <v>0</v>
      </c>
      <c r="M13" s="936">
        <f t="shared" si="0"/>
        <v>0</v>
      </c>
      <c r="N13" s="934">
        <f t="shared" si="0"/>
        <v>11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38</v>
      </c>
      <c r="AC13" s="934">
        <f t="shared" si="1"/>
        <v>0</v>
      </c>
      <c r="AD13" s="934">
        <f t="shared" si="1"/>
        <v>0</v>
      </c>
      <c r="AE13" s="934">
        <f t="shared" si="1"/>
        <v>0</v>
      </c>
      <c r="AF13" s="934">
        <f t="shared" si="1"/>
        <v>114</v>
      </c>
      <c r="AG13" s="934">
        <f t="shared" si="1"/>
        <v>0</v>
      </c>
      <c r="AH13" s="934">
        <f t="shared" si="1"/>
        <v>24</v>
      </c>
      <c r="AI13" s="934">
        <f t="shared" si="1"/>
        <v>0</v>
      </c>
      <c r="AJ13" s="934">
        <f t="shared" si="1"/>
        <v>0</v>
      </c>
      <c r="AK13" s="934">
        <f t="shared" si="1"/>
        <v>0</v>
      </c>
      <c r="AL13" s="934">
        <f t="shared" si="1"/>
        <v>22</v>
      </c>
      <c r="AM13" s="934">
        <f t="shared" si="1"/>
        <v>14</v>
      </c>
      <c r="AN13" s="934">
        <f t="shared" si="1"/>
        <v>0</v>
      </c>
      <c r="AO13" s="934">
        <f t="shared" si="1"/>
        <v>0</v>
      </c>
      <c r="AP13" s="939">
        <f>IF(ISNUMBER(((Datos!L13/Datos!K13)*11)/factor_trimestre),((Datos!L13/Datos!K13)*11)/factor_trimestre," - ")</f>
        <v>4.7672727272727276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-0.33043478260869563</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393</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393</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393</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393</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2.7908407382091593</v>
      </c>
      <c r="AQ19" s="939">
        <f>IF(ISNUMBER(((Datos!M19/Datos!L19)*11)/factor_trimestre),((Datos!M19/Datos!L19)*11)/factor_trimestre," - ")</f>
        <v>0.43423952975753122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-0.2563176895306859</v>
      </c>
      <c r="AW19" s="941">
        <f>IF(ISNUMBER((Datos!Q19-Datos!R19)/(Datos!S19-Datos!Q19+Datos!R19)),(Datos!Q19-Datos!R19)/(Datos!S19-Datos!Q19+Datos!R19)," - ")</f>
        <v>-1.7255892255892257E-2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10</v>
      </c>
      <c r="F20" s="946">
        <f t="shared" si="4"/>
        <v>115</v>
      </c>
      <c r="G20" s="946">
        <f t="shared" si="4"/>
        <v>115</v>
      </c>
      <c r="H20" s="946">
        <f t="shared" si="4"/>
        <v>0</v>
      </c>
      <c r="I20" s="947">
        <f t="shared" si="4"/>
        <v>0</v>
      </c>
      <c r="J20" s="948">
        <f t="shared" si="4"/>
        <v>0</v>
      </c>
      <c r="K20" s="948">
        <f t="shared" si="4"/>
        <v>0</v>
      </c>
      <c r="L20" s="948">
        <f t="shared" si="4"/>
        <v>0</v>
      </c>
      <c r="M20" s="948">
        <f t="shared" si="4"/>
        <v>0</v>
      </c>
      <c r="N20" s="947">
        <f t="shared" si="4"/>
        <v>11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38</v>
      </c>
      <c r="AC20" s="952">
        <f t="shared" si="5"/>
        <v>0</v>
      </c>
      <c r="AD20" s="952">
        <f t="shared" si="5"/>
        <v>0</v>
      </c>
      <c r="AE20" s="952">
        <f t="shared" si="5"/>
        <v>0</v>
      </c>
      <c r="AF20" s="953">
        <f t="shared" si="5"/>
        <v>114</v>
      </c>
      <c r="AG20" s="953">
        <f t="shared" si="5"/>
        <v>0</v>
      </c>
      <c r="AH20" s="953">
        <f t="shared" si="5"/>
        <v>24</v>
      </c>
      <c r="AI20" s="953">
        <f t="shared" si="5"/>
        <v>0</v>
      </c>
      <c r="AJ20" s="954">
        <f t="shared" si="5"/>
        <v>0</v>
      </c>
      <c r="AK20" s="954">
        <f t="shared" si="5"/>
        <v>0</v>
      </c>
      <c r="AL20" s="946">
        <f t="shared" si="5"/>
        <v>22</v>
      </c>
      <c r="AM20" s="946">
        <f t="shared" si="5"/>
        <v>14</v>
      </c>
      <c r="AN20" s="946">
        <f t="shared" si="5"/>
        <v>0</v>
      </c>
      <c r="AO20" s="946">
        <f t="shared" si="5"/>
        <v>0</v>
      </c>
      <c r="AP20" s="946">
        <f>IF(ISNUMBER(((Datos!L20/Datos!K20)*11)/factor_trimestre),((Datos!L20/Datos!K20)*11)/factor_trimestre," - ")</f>
        <v>3.8777111213659432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-0.33043478260869563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-2.9704715733803438E-2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261</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76.666666666666671</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262</v>
      </c>
      <c r="D22" s="731"/>
      <c r="E22" s="732">
        <f>IF(ISNUMBER(STDEV(E8:E19)),STDEV(E8:E19),"-")</f>
        <v>4.1793141383086612</v>
      </c>
      <c r="F22" s="733">
        <f>IF(ISNUMBER(STDEV(F8:F19)),STDEV(F8:F19),"-")</f>
        <v>66.395280956806971</v>
      </c>
      <c r="G22" s="734">
        <f>IF(ISNUMBER(STDEV(G8:G19)),STDEV(G8:G19),"-")</f>
        <v>66.395280956806971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21.93931022920578</v>
      </c>
      <c r="AC22" s="735">
        <f>IF(ISNUMBER(STDEV(AC8:AC19)),STDEV(AC8:AC19),"-")</f>
        <v>0</v>
      </c>
      <c r="AD22" s="738"/>
      <c r="AE22" s="738"/>
      <c r="AF22" s="738"/>
      <c r="AG22" s="738"/>
      <c r="AH22" s="738"/>
      <c r="AI22" s="738"/>
      <c r="AJ22" s="739">
        <f>IF(ISNUMBER(STDEV(AJ8:AJ19)),STDEV(AJ8:AJ19),"-")</f>
        <v>0</v>
      </c>
      <c r="AK22" s="741"/>
      <c r="AL22" s="733">
        <f>IF(ISNUMBER(STDEV(AL8:AL19)),STDEV(AL8:AL19),"-")</f>
        <v>12.701705922171767</v>
      </c>
      <c r="AM22" s="733"/>
      <c r="AN22" s="733">
        <f>IF(ISNUMBER(STDEV(AN8:AN19)),STDEV(AN8:AN19),"-")</f>
        <v>0</v>
      </c>
      <c r="AO22" s="739">
        <f>IF(ISNUMBER(STDEV(AO8:AO19)),STDEV(AO8:AO19),"-")</f>
        <v>0</v>
      </c>
      <c r="AP22" s="776">
        <f>IF(ISNUMBER(STDEV(AP8:AP19)),STDEV(AP8:AP19),"-")</f>
        <v>3.1721686144488479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421</v>
      </c>
      <c r="AU23" s="749" t="s">
        <v>421</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259</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260</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loIdZMGiPjbmM1PWzT7IpOUWwS8b6tCTcMuSe2hLcvnvm7ND91e91hV6KqiR6CUu9JHpU0YQtz9SYJ0XAwHlw==" saltValue="GdSkCaWJiHWZpMq+gTwNF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EXTREMADURA</v>
      </c>
    </row>
    <row r="2" spans="1:168" ht="16.5" customHeight="1">
      <c r="C2" s="487" t="str">
        <f>Criterios!A10 &amp;"  "&amp;Criterios!B10 &amp; "  " &amp; IF(NOT(ISBLANK(Criterios!A11)),Criterios!A11 &amp;"  "&amp;Criterios!B11,"")</f>
        <v>Provincias  BADAJOZ  Resumenes por Partidos Judiciales  BADAJOZ</v>
      </c>
      <c r="D2" s="487"/>
      <c r="E2" s="488"/>
      <c r="F2" s="488"/>
      <c r="G2" s="489"/>
      <c r="I2" s="488"/>
      <c r="J2" s="261"/>
      <c r="K2" s="261"/>
      <c r="L2" s="488"/>
      <c r="M2" s="488"/>
      <c r="N2" s="488"/>
      <c r="O2" s="581"/>
      <c r="P2" s="581"/>
      <c r="Q2" s="488"/>
      <c r="U2" s="488"/>
      <c r="V2" s="490"/>
      <c r="Y2" s="602"/>
    </row>
    <row r="3" spans="1:168" ht="30" customHeight="1">
      <c r="C3" s="641" t="s">
        <v>987</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348</v>
      </c>
      <c r="B5" s="271"/>
      <c r="C5" s="1555" t="str">
        <f>"Año:  " &amp;Criterios!B$5 &amp; "          Trimestre   " &amp;Criterios!D$5 &amp; " al " &amp;Criterios!D$6</f>
        <v>Año:  2026          Trimestre   2 al 2</v>
      </c>
      <c r="D5" s="1522" t="s">
        <v>373</v>
      </c>
      <c r="E5" s="1522" t="s">
        <v>547</v>
      </c>
      <c r="F5" s="1557" t="s">
        <v>403</v>
      </c>
      <c r="G5" s="1522" t="s">
        <v>130</v>
      </c>
      <c r="H5" s="1522" t="s">
        <v>577</v>
      </c>
      <c r="I5" s="1596" t="s">
        <v>548</v>
      </c>
      <c r="J5" s="1522" t="s">
        <v>651</v>
      </c>
      <c r="K5" s="1522" t="s">
        <v>652</v>
      </c>
      <c r="L5" s="1522" t="s">
        <v>549</v>
      </c>
      <c r="M5" s="1522" t="s">
        <v>517</v>
      </c>
      <c r="N5" s="1522" t="s">
        <v>653</v>
      </c>
      <c r="O5" s="1552" t="s">
        <v>575</v>
      </c>
      <c r="P5" s="1522" t="s">
        <v>671</v>
      </c>
      <c r="Q5" s="1522" t="s">
        <v>666</v>
      </c>
      <c r="R5" s="1522" t="s">
        <v>165</v>
      </c>
      <c r="S5" s="1540" t="s">
        <v>663</v>
      </c>
      <c r="T5" s="1540" t="s">
        <v>665</v>
      </c>
      <c r="U5" s="1522" t="s">
        <v>578</v>
      </c>
      <c r="V5" s="1540" t="s">
        <v>550</v>
      </c>
      <c r="W5" s="1522" t="s">
        <v>749</v>
      </c>
      <c r="X5" s="1522" t="s">
        <v>750</v>
      </c>
      <c r="Y5" s="1590" t="s">
        <v>654</v>
      </c>
      <c r="Z5" s="1546" t="s">
        <v>600</v>
      </c>
      <c r="AA5" s="1602" t="s">
        <v>551</v>
      </c>
      <c r="AB5" s="1605" t="s">
        <v>552</v>
      </c>
      <c r="AC5" s="1605" t="s">
        <v>553</v>
      </c>
      <c r="AD5" s="1596" t="s">
        <v>655</v>
      </c>
      <c r="AE5" s="1596" t="s">
        <v>988</v>
      </c>
      <c r="AF5" s="1596" t="s">
        <v>667</v>
      </c>
      <c r="AG5" s="1522" t="s">
        <v>518</v>
      </c>
      <c r="AH5" s="1596" t="s">
        <v>656</v>
      </c>
      <c r="AI5" s="1596" t="s">
        <v>176</v>
      </c>
      <c r="AJ5" s="1596" t="s">
        <v>989</v>
      </c>
      <c r="AK5" s="1522" t="s">
        <v>519</v>
      </c>
      <c r="AL5" s="1522" t="s">
        <v>520</v>
      </c>
      <c r="AM5" s="1596" t="s">
        <v>672</v>
      </c>
      <c r="AN5" s="1522" t="s">
        <v>521</v>
      </c>
      <c r="AO5" s="1522" t="s">
        <v>522</v>
      </c>
      <c r="AP5" s="1522" t="s">
        <v>523</v>
      </c>
      <c r="AQ5" s="1522" t="s">
        <v>524</v>
      </c>
      <c r="AR5" s="1522" t="s">
        <v>657</v>
      </c>
      <c r="AS5" s="1522" t="s">
        <v>179</v>
      </c>
      <c r="AT5" s="1608" t="s">
        <v>177</v>
      </c>
      <c r="AU5" s="1596" t="s">
        <v>668</v>
      </c>
      <c r="AV5" s="1593" t="s">
        <v>669</v>
      </c>
      <c r="AW5" s="1525" t="s">
        <v>526</v>
      </c>
      <c r="AX5" s="1596" t="s">
        <v>527</v>
      </c>
      <c r="AY5" s="1596" t="s">
        <v>598</v>
      </c>
      <c r="AZ5" s="1599" t="s">
        <v>599</v>
      </c>
      <c r="BA5" s="1522" t="s">
        <v>555</v>
      </c>
      <c r="BB5" s="1531" t="s">
        <v>556</v>
      </c>
      <c r="BC5" s="1525" t="s">
        <v>180</v>
      </c>
      <c r="BD5" s="1522" t="s">
        <v>557</v>
      </c>
      <c r="BE5" s="1596" t="s">
        <v>244</v>
      </c>
      <c r="BF5" s="1596" t="s">
        <v>245</v>
      </c>
      <c r="BG5" s="1522" t="s">
        <v>246</v>
      </c>
      <c r="BH5" s="1596" t="s">
        <v>558</v>
      </c>
      <c r="BI5" s="1522" t="s">
        <v>247</v>
      </c>
      <c r="BJ5" s="1596" t="s">
        <v>559</v>
      </c>
      <c r="BK5" s="1522" t="s">
        <v>573</v>
      </c>
      <c r="BL5" s="1522" t="s">
        <v>560</v>
      </c>
      <c r="BM5" s="1522" t="s">
        <v>561</v>
      </c>
      <c r="BN5" s="1522" t="s">
        <v>586</v>
      </c>
      <c r="BO5" s="1522" t="s">
        <v>579</v>
      </c>
      <c r="BP5" s="1596" t="s">
        <v>787</v>
      </c>
      <c r="BQ5" s="1596" t="s">
        <v>790</v>
      </c>
      <c r="BR5" s="1522" t="s">
        <v>792</v>
      </c>
      <c r="BS5" s="1522" t="s">
        <v>580</v>
      </c>
      <c r="BT5" s="1596" t="s">
        <v>562</v>
      </c>
      <c r="BU5" s="1522" t="s">
        <v>525</v>
      </c>
      <c r="BV5" s="1519" t="s">
        <v>751</v>
      </c>
      <c r="BW5" s="1522" t="s">
        <v>124</v>
      </c>
      <c r="BX5" s="1522" t="s">
        <v>125</v>
      </c>
      <c r="BY5" s="1522" t="s">
        <v>894</v>
      </c>
      <c r="BZ5" s="1522" t="s">
        <v>895</v>
      </c>
      <c r="CA5" s="1522" t="s">
        <v>896</v>
      </c>
      <c r="CB5" s="1587" t="s">
        <v>904</v>
      </c>
      <c r="CC5" s="1587" t="s">
        <v>905</v>
      </c>
      <c r="CD5" s="1587" t="s">
        <v>906</v>
      </c>
      <c r="CE5" s="1522" t="s">
        <v>902</v>
      </c>
      <c r="CF5" s="1522" t="s">
        <v>903</v>
      </c>
      <c r="CG5" s="1522" t="s">
        <v>897</v>
      </c>
      <c r="CH5" s="1587" t="s">
        <v>907</v>
      </c>
      <c r="CI5" s="1587" t="s">
        <v>908</v>
      </c>
      <c r="CJ5" s="1587" t="s">
        <v>909</v>
      </c>
      <c r="CK5" s="1522" t="s">
        <v>910</v>
      </c>
      <c r="CL5" s="1522" t="s">
        <v>911</v>
      </c>
      <c r="CM5" s="1522" t="s">
        <v>912</v>
      </c>
      <c r="CN5" s="1587" t="s">
        <v>913</v>
      </c>
      <c r="CO5" s="1587" t="s">
        <v>914</v>
      </c>
      <c r="CP5" s="1587" t="s">
        <v>915</v>
      </c>
      <c r="CQ5" s="1522" t="s">
        <v>898</v>
      </c>
      <c r="CR5" s="1522" t="s">
        <v>899</v>
      </c>
      <c r="CS5" s="1522" t="s">
        <v>900</v>
      </c>
      <c r="CT5" s="1522" t="s">
        <v>901</v>
      </c>
      <c r="CU5" s="1587" t="s">
        <v>916</v>
      </c>
      <c r="CV5" s="1587" t="s">
        <v>917</v>
      </c>
      <c r="CW5" s="1587" t="s">
        <v>918</v>
      </c>
      <c r="CX5" s="1587" t="s">
        <v>919</v>
      </c>
      <c r="CY5" s="1522" t="s">
        <v>920</v>
      </c>
      <c r="CZ5" s="1522" t="s">
        <v>921</v>
      </c>
      <c r="DA5" s="1522" t="s">
        <v>922</v>
      </c>
      <c r="DB5" s="1522" t="s">
        <v>923</v>
      </c>
      <c r="DC5" s="1587" t="s">
        <v>924</v>
      </c>
      <c r="DD5" s="1587" t="s">
        <v>925</v>
      </c>
      <c r="DE5" s="1587" t="s">
        <v>926</v>
      </c>
      <c r="DF5" s="1587" t="s">
        <v>927</v>
      </c>
      <c r="DG5" s="1522" t="s">
        <v>928</v>
      </c>
      <c r="DH5" s="1522" t="s">
        <v>929</v>
      </c>
      <c r="DI5" s="1522" t="s">
        <v>930</v>
      </c>
      <c r="DJ5" s="1522" t="s">
        <v>931</v>
      </c>
      <c r="DK5" s="1587" t="s">
        <v>932</v>
      </c>
      <c r="DL5" s="1587" t="s">
        <v>933</v>
      </c>
      <c r="DM5" s="1587" t="s">
        <v>934</v>
      </c>
      <c r="DN5" s="1587" t="s">
        <v>935</v>
      </c>
      <c r="DO5" s="1522" t="s">
        <v>936</v>
      </c>
      <c r="DP5" s="1522" t="s">
        <v>937</v>
      </c>
      <c r="DQ5" s="1522" t="s">
        <v>938</v>
      </c>
      <c r="DR5" s="1522" t="s">
        <v>939</v>
      </c>
      <c r="DS5" s="1587" t="s">
        <v>940</v>
      </c>
      <c r="DT5" s="1587" t="s">
        <v>941</v>
      </c>
      <c r="DU5" s="1587" t="s">
        <v>942</v>
      </c>
      <c r="DV5" s="1587" t="s">
        <v>943</v>
      </c>
      <c r="DW5" s="1522" t="s">
        <v>944</v>
      </c>
      <c r="DX5" s="1522" t="s">
        <v>945</v>
      </c>
      <c r="DY5" s="1522" t="s">
        <v>946</v>
      </c>
      <c r="DZ5" s="1522" t="s">
        <v>947</v>
      </c>
      <c r="EA5" s="1587" t="s">
        <v>948</v>
      </c>
      <c r="EB5" s="1587" t="s">
        <v>949</v>
      </c>
      <c r="EC5" s="1587" t="s">
        <v>950</v>
      </c>
      <c r="ED5" s="1587" t="s">
        <v>951</v>
      </c>
      <c r="EE5" s="1522" t="s">
        <v>952</v>
      </c>
      <c r="EF5" s="1522" t="s">
        <v>953</v>
      </c>
      <c r="EG5" s="1522" t="s">
        <v>954</v>
      </c>
      <c r="EH5" s="1522" t="s">
        <v>955</v>
      </c>
      <c r="EI5" s="1587" t="s">
        <v>956</v>
      </c>
      <c r="EJ5" s="1587" t="s">
        <v>957</v>
      </c>
      <c r="EK5" s="1587" t="s">
        <v>958</v>
      </c>
      <c r="EL5" s="1587" t="s">
        <v>959</v>
      </c>
      <c r="EM5" s="1522" t="s">
        <v>960</v>
      </c>
      <c r="EN5" s="1522" t="s">
        <v>961</v>
      </c>
      <c r="EO5" s="1522" t="s">
        <v>962</v>
      </c>
      <c r="EP5" s="1522" t="s">
        <v>963</v>
      </c>
      <c r="EQ5" s="1522" t="s">
        <v>964</v>
      </c>
      <c r="ER5" s="1522" t="s">
        <v>965</v>
      </c>
      <c r="ES5" s="1522" t="s">
        <v>966</v>
      </c>
      <c r="ET5" s="1522" t="s">
        <v>967</v>
      </c>
      <c r="EU5" s="1522" t="s">
        <v>970</v>
      </c>
      <c r="EV5" s="1522" t="s">
        <v>968</v>
      </c>
      <c r="EW5" s="1522" t="s">
        <v>969</v>
      </c>
      <c r="EX5" s="1522" t="s">
        <v>971</v>
      </c>
      <c r="EY5" s="1522" t="s">
        <v>972</v>
      </c>
      <c r="EZ5" s="1522" t="s">
        <v>973</v>
      </c>
      <c r="FA5" s="1522" t="s">
        <v>974</v>
      </c>
      <c r="FB5" s="1522" t="s">
        <v>977</v>
      </c>
      <c r="FC5" s="1522" t="s">
        <v>975</v>
      </c>
      <c r="FD5" s="1522" t="s">
        <v>976</v>
      </c>
      <c r="FE5" s="1522" t="s">
        <v>978</v>
      </c>
      <c r="FF5" s="1522" t="s">
        <v>979</v>
      </c>
      <c r="FG5" s="1522" t="s">
        <v>980</v>
      </c>
      <c r="FH5" s="1522" t="s">
        <v>981</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7</v>
      </c>
      <c r="B9" s="500" t="s">
        <v>243</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161</v>
      </c>
      <c r="O9" s="333"/>
      <c r="P9" s="333"/>
      <c r="Q9" s="225">
        <f>IF(ISNUMBER(Datos!P9),Datos!P9,0)</f>
        <v>821</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1070</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179</v>
      </c>
      <c r="AI9" s="224" t="str">
        <f>IF(ISNUMBER(Datos!CD9),Datos!CD9,"-")</f>
        <v>-</v>
      </c>
      <c r="AJ9" s="224" t="str">
        <f>IF(ISNUMBER(Datos!EN9),Datos!EN9," - ")</f>
        <v xml:space="preserve"> - </v>
      </c>
      <c r="AK9" s="333"/>
      <c r="AL9" s="478"/>
      <c r="AM9" s="224">
        <f>IF(ISNUMBER(Datos!R9),Datos!R9," - ")</f>
        <v>10384</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920</v>
      </c>
      <c r="BD9" s="228">
        <f>IF(ISNUMBER(Datos!N9),Datos!N9," - ")</f>
        <v>1485</v>
      </c>
      <c r="BE9" s="224" t="str">
        <f>IF(ISNUMBER(Datos!BW9),Datos!BW9," - ")</f>
        <v xml:space="preserve"> - </v>
      </c>
      <c r="BF9" s="224" t="str">
        <f>IF(ISNUMBER(Datos!BX9),Datos!BX9," - ")</f>
        <v xml:space="preserve"> - </v>
      </c>
      <c r="BG9" s="242">
        <f>IF(ISNUMBER(IF(J_V="SI",Datos!K9/Datos!J9,(Datos!K9+Datos!AA9)/(Datos!J9+Datos!Z9))),IF(J_V="SI",Datos!K9/Datos!J9,(Datos!K9+Datos!AA9)/(Datos!J9+Datos!Z9))," - ")</f>
        <v>1.1789006486855582</v>
      </c>
      <c r="BH9" s="224">
        <f>IF(ISNUMBER(((IF(J_V="SI",Datos!L9/Datos!K9,(Datos!L9+Datos!AB9)/(Datos!K9+Datos!AA9)))*11)/factor_trimestre),((IF(J_V="SI",Datos!L9/Datos!K9,(Datos!L9+Datos!AB9)/(Datos!K9+Datos!AA9)))*11)/factor_trimestre," - ")</f>
        <v>4.5447437011294536</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-2.3417661995673845E-2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1033.5488240340044</v>
      </c>
      <c r="CF9" s="228">
        <f ca="1">AVERAGEIFS($AB:$AB,$BW:$BW,BW9,$BX:$BX,BX9)</f>
        <v>1033.5488240340044</v>
      </c>
      <c r="CG9" s="1191">
        <v>0.7</v>
      </c>
      <c r="CH9" s="1191">
        <f ca="1">AVERAGEIF($BW:$BW,$BW9,$AC:$AC)</f>
        <v>327.25</v>
      </c>
      <c r="CI9" s="228">
        <f ca="1">AVERAGEIFS($AC:$AC,$BW:$BW,$BW9,$BX:$BX,$BX9)</f>
        <v>327.25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945.33333333333337</v>
      </c>
      <c r="CR9" s="228">
        <f ca="1">AVERAGEIFS($AF:$AF,$BW:$BW,BW9,$BX:$BX,BX9)</f>
        <v>945.33333333333337</v>
      </c>
      <c r="CS9" s="1191">
        <v>1.3</v>
      </c>
      <c r="CT9" s="1191">
        <v>1.5</v>
      </c>
      <c r="CU9" s="1191">
        <f ca="1">AVERAGEIF($BW:$BW,$BW9,$AH:$AH)</f>
        <v>89.333333333333329</v>
      </c>
      <c r="CV9" s="228">
        <f ca="1">AVERAGEIFS($AH:$AH,$BW:$BW,$BW9,$BX:$BX,$BX9)</f>
        <v>89.333333333333329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2752</v>
      </c>
      <c r="DH9" s="228">
        <f ca="1">AVERAGEIFS($AM:$AM,$BW:$BW,$BW9,$BX:$BX,$BX9)</f>
        <v>2752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3.2468703314338594</v>
      </c>
      <c r="ER9" s="228">
        <f ca="1">AVERAGEIFS($BH:$BH,$BW:$BW,$BW9,$BX:$BX,$BX9)</f>
        <v>3.2468703314338594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243</v>
      </c>
      <c r="C10" s="7" t="str">
        <f>Datos!A10</f>
        <v>Sección De Violencia sobre la Mujer del TI</v>
      </c>
      <c r="D10" s="507"/>
      <c r="E10" s="259">
        <f>IF(ISNUMBER(Datos!AQ10),Datos!AQ10," - ")</f>
        <v>2</v>
      </c>
      <c r="F10" s="224">
        <f>IF(ISNUMBER(Datos!L10+Datos!K10-Datos!J10),Datos!L10+Datos!K10-Datos!J10," - ")</f>
        <v>115</v>
      </c>
      <c r="G10" s="332">
        <f>IF(ISNUMBER(Datos!I10),Datos!I10," - ")</f>
        <v>115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38</v>
      </c>
      <c r="AC10" s="224">
        <f>IF(ISNUMBER(Datos!Q10),Datos!Q10," - ")</f>
        <v>8</v>
      </c>
      <c r="AD10" s="224"/>
      <c r="AE10" s="224"/>
      <c r="AF10" s="224">
        <f>IF(ISNUMBER(Datos!L10),Datos!L10,"-")</f>
        <v>114</v>
      </c>
      <c r="AG10" s="333"/>
      <c r="AH10" s="224"/>
      <c r="AI10" s="224"/>
      <c r="AJ10" s="224"/>
      <c r="AK10" s="333"/>
      <c r="AL10" s="478"/>
      <c r="AM10" s="224">
        <f>IF(ISNUMBER(Datos!R10),Datos!R10," - ")</f>
        <v>77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22</v>
      </c>
      <c r="BD10" s="228">
        <f>IF(ISNUMBER(Datos!N10),Datos!N10," - ")</f>
        <v>14</v>
      </c>
      <c r="BE10" s="224" t="str">
        <f>IF(ISNUMBER(Datos!BW10),Datos!BW10," - ")</f>
        <v xml:space="preserve"> - </v>
      </c>
      <c r="BF10" s="224" t="str">
        <f>IF(ISNUMBER(Datos!BX10),Datos!BX10," - ")</f>
        <v xml:space="preserve"> - </v>
      </c>
      <c r="BG10" s="242">
        <f>IF(ISNUMBER(Datos!K10/Datos!J10),Datos!K10/Datos!J10," - ")</f>
        <v>1.027027027027027</v>
      </c>
      <c r="BH10" s="224">
        <f>IF(ISNUMBER(((Datos!L10/Datos!K10)*11)/factor_trimestre),((Datos!L10/Datos!K10)*11)/factor_trimestre," - ")</f>
        <v>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4.0540540540540543E-2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1033.5488240340044</v>
      </c>
      <c r="CF10" s="228">
        <f ca="1">AVERAGEIFS($AB:$AB,$BW:$BW,BW10,$BX:$BX,BX10)</f>
        <v>1033.5488240340044</v>
      </c>
      <c r="CG10" s="1191">
        <v>0.7</v>
      </c>
      <c r="CH10" s="1191">
        <f ca="1">AVERAGEIF($BW:$BW,BW10,$AC:$AC)</f>
        <v>327.25</v>
      </c>
      <c r="CI10" s="228">
        <f ca="1">AVERAGEIFS($AC:$AC,$BW:$BW,BW10,$BX:$BX,BX10)</f>
        <v>327.25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945.33333333333337</v>
      </c>
      <c r="CR10" s="228">
        <f ca="1">AVERAGEIFS($AF:$AF,$BW:$BW,BW10,$BX:$BX,BX10)</f>
        <v>945.33333333333337</v>
      </c>
      <c r="CS10" s="1191">
        <v>1.3</v>
      </c>
      <c r="CT10" s="1191">
        <v>1.5</v>
      </c>
      <c r="CU10" s="1191">
        <f ca="1">AVERAGEIF($BW:$BW,$BW10,$AH:$AH)</f>
        <v>89.333333333333329</v>
      </c>
      <c r="CV10" s="228">
        <f ca="1">AVERAGEIFS($AH:$AH,$BW:$BW,$BW10,$BX:$BX,$BX10)</f>
        <v>89.333333333333329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2752</v>
      </c>
      <c r="DH10" s="228">
        <f ca="1">AVERAGEIFS($AM:$AM,$BW:$BW,$BW10,$BX:$BX,$BX10)</f>
        <v>2752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3.2468703314338594</v>
      </c>
      <c r="ER10" s="228">
        <f ca="1">AVERAGEIFS($BH:$BH,$BW:$BW,$BW10,$BX:$BX,$BX10)</f>
        <v>3.2468703314338594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1</v>
      </c>
      <c r="B11" s="506" t="s">
        <v>243</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101</v>
      </c>
      <c r="O11" s="333"/>
      <c r="P11" s="333"/>
      <c r="Q11" s="225">
        <f>IF(ISNUMBER(Datos!P11),Datos!P11,0)</f>
        <v>46</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66</v>
      </c>
      <c r="AD11" s="224"/>
      <c r="AE11" s="224"/>
      <c r="AF11" s="224" t="str">
        <f>IF(ISNUMBER(IF(J_V="SI",Datos!L11,Datos!L11+Datos!AB11)-IF(Monitorios="SI",Datos!CD11,0)),
                          IF(J_V="SI",Datos!L11,Datos!L11+Datos!AB11)-IF(Monitorios="SI",Datos!CD11,0),
                          " - ")</f>
        <v xml:space="preserve"> - </v>
      </c>
      <c r="AG11" s="333"/>
      <c r="AH11" s="224">
        <f>IF(ISNUMBER(Datos!AB11),Datos!AB11,"-")</f>
        <v>89</v>
      </c>
      <c r="AI11" s="224"/>
      <c r="AJ11" s="224"/>
      <c r="AK11" s="333"/>
      <c r="AL11" s="478"/>
      <c r="AM11" s="224">
        <f>IF(ISNUMBER(Datos!R11),Datos!R11," - ")</f>
        <v>317</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113</v>
      </c>
      <c r="BD11" s="228">
        <f>IF(ISNUMBER(Datos!N11),Datos!N11," - ")</f>
        <v>180</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0.80219780219780223</v>
      </c>
      <c r="BH11" s="224">
        <f>IF(ISNUMBER(((IF(J_V="SI",Datos!L11/Datos!K11,(Datos!L11+Datos!AB11)/(Datos!K11+Datos!AA11)))*11)/factor_trimestre),((IF(J_V="SI",Datos!L11/Datos!K11,(Datos!L11+Datos!AB11)/(Datos!K11+Datos!AA11)))*11)/factor_trimestre," - ")</f>
        <v>6.1952054794520555</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-5.9347181008902079E-2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1033.5488240340044</v>
      </c>
      <c r="CF11" s="228">
        <f ca="1">AVERAGEIFS($AB:$AB,$BW:$BW,BW11,$BX:$BX,BX11)</f>
        <v>1033.5488240340044</v>
      </c>
      <c r="CG11" s="1191">
        <v>0.7</v>
      </c>
      <c r="CH11" s="1191">
        <f ca="1">AVERAGEIF($BW:$BW,BW11,$AC:$AC)</f>
        <v>327.25</v>
      </c>
      <c r="CI11" s="228">
        <f ca="1">AVERAGEIFS($AC:$AC,$BW:$BW,BW11,$BX:$BX,BX11)</f>
        <v>327.25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945.33333333333337</v>
      </c>
      <c r="CR11" s="228">
        <f ca="1">AVERAGEIFS($AF:$AF,$BW:$BW,BW11,$BX:$BX,BX11)</f>
        <v>945.33333333333337</v>
      </c>
      <c r="CS11" s="1191">
        <v>1.3</v>
      </c>
      <c r="CT11" s="1191">
        <v>1.5</v>
      </c>
      <c r="CU11" s="1191">
        <f ca="1">AVERAGEIF($BW:$BW,$BW11,$AH:$AH)</f>
        <v>89.333333333333329</v>
      </c>
      <c r="CV11" s="228">
        <f ca="1">AVERAGEIFS($AH:$AH,$BW:$BW,$BW11,$BX:$BX,$BX11)</f>
        <v>89.333333333333329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2752</v>
      </c>
      <c r="DH11" s="228">
        <f ca="1">AVERAGEIFS($AM:$AM,$BW:$BW,$BW11,$BX:$BX,$BX11)</f>
        <v>2752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3.2468703314338594</v>
      </c>
      <c r="ER11" s="228">
        <f ca="1">AVERAGEIFS($BH:$BH,$BW:$BW,$BW11,$BX:$BX,$BX11)</f>
        <v>3.2468703314338594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243</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0</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0</v>
      </c>
      <c r="AI12" s="224" t="str">
        <f>IF(ISNUMBER(Datos!CD12),Datos!CD12,"-")</f>
        <v>-</v>
      </c>
      <c r="AJ12" s="224" t="str">
        <f>IF(ISNUMBER(Datos!EN12),Datos!EN12," - ")</f>
        <v xml:space="preserve"> - </v>
      </c>
      <c r="AK12" s="333"/>
      <c r="AL12" s="478"/>
      <c r="AM12" s="224">
        <f>IF(ISNUMBER(Datos!R12),Datos!R12," - ")</f>
        <v>24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0</v>
      </c>
      <c r="BD12" s="228">
        <f>IF(ISNUMBER(Datos!N12),Datos!N12," - ")</f>
        <v>0</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1033.5488240340044</v>
      </c>
      <c r="CF12" s="228">
        <f ca="1">AVERAGEIFS($AB:$AB,$BW:$BW,BW12,$BX:$BX,BX12)</f>
        <v>1033.5488240340044</v>
      </c>
      <c r="CG12" s="1191">
        <v>0.7</v>
      </c>
      <c r="CH12" s="1191">
        <f ca="1">AVERAGEIF($BW:$BW,BW12,$AC:$AC)</f>
        <v>327.25</v>
      </c>
      <c r="CI12" s="228">
        <f ca="1">AVERAGEIFS($AC:$AC,$BW:$BW,BW12,$BX:$BX,BX12)</f>
        <v>327.25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945.33333333333337</v>
      </c>
      <c r="CR12" s="228">
        <f ca="1">AVERAGEIFS($AF:$AF,$BW:$BW,BW12,$BX:$BX,BX12)</f>
        <v>945.33333333333337</v>
      </c>
      <c r="CS12" s="1191">
        <v>1.3</v>
      </c>
      <c r="CT12" s="1191">
        <v>1.5</v>
      </c>
      <c r="CU12" s="1191">
        <f ca="1">AVERAGEIF($BW:$BW,$BW12,$AH:$AH)</f>
        <v>89.333333333333329</v>
      </c>
      <c r="CV12" s="228">
        <f ca="1">AVERAGEIFS($AH:$AH,$BW:$BW,$BW12,$BX:$BX,$BX12)</f>
        <v>89.333333333333329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2752</v>
      </c>
      <c r="DH12" s="228">
        <f ca="1">AVERAGEIFS($AM:$AM,$BW:$BW,$BW12,$BX:$BX,$BX12)</f>
        <v>2752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3.2468703314338594</v>
      </c>
      <c r="ER12" s="228">
        <f ca="1">AVERAGEIFS($BH:$BH,$BW:$BW,$BW12,$BX:$BX,$BX12)</f>
        <v>3.2468703314338594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10</v>
      </c>
      <c r="F13" s="895">
        <f t="shared" si="1"/>
        <v>115</v>
      </c>
      <c r="G13" s="895">
        <f t="shared" si="1"/>
        <v>115</v>
      </c>
      <c r="H13" s="896">
        <f t="shared" si="1"/>
        <v>0</v>
      </c>
      <c r="I13" s="895">
        <f t="shared" si="1"/>
        <v>0</v>
      </c>
      <c r="J13" s="864">
        <f t="shared" si="1"/>
        <v>0</v>
      </c>
      <c r="K13" s="864">
        <f t="shared" si="1"/>
        <v>0</v>
      </c>
      <c r="L13" s="896">
        <f t="shared" si="1"/>
        <v>0</v>
      </c>
      <c r="M13" s="896">
        <f t="shared" si="1"/>
        <v>0</v>
      </c>
      <c r="N13" s="896">
        <f t="shared" si="1"/>
        <v>262</v>
      </c>
      <c r="O13" s="897">
        <f t="shared" si="1"/>
        <v>0</v>
      </c>
      <c r="P13" s="897">
        <f t="shared" si="1"/>
        <v>0</v>
      </c>
      <c r="Q13" s="896">
        <f t="shared" si="1"/>
        <v>878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38</v>
      </c>
      <c r="AC13" s="896">
        <f t="shared" si="2"/>
        <v>1144</v>
      </c>
      <c r="AD13" s="896">
        <f t="shared" si="2"/>
        <v>0</v>
      </c>
      <c r="AE13" s="896">
        <f t="shared" si="2"/>
        <v>0</v>
      </c>
      <c r="AF13" s="896">
        <f t="shared" si="2"/>
        <v>114</v>
      </c>
      <c r="AG13" s="896">
        <f t="shared" si="2"/>
        <v>0</v>
      </c>
      <c r="AH13" s="896">
        <f t="shared" si="2"/>
        <v>268</v>
      </c>
      <c r="AI13" s="896">
        <f t="shared" si="2"/>
        <v>0</v>
      </c>
      <c r="AJ13" s="896">
        <f t="shared" si="2"/>
        <v>0</v>
      </c>
      <c r="AK13" s="896">
        <f t="shared" si="2"/>
        <v>0</v>
      </c>
      <c r="AL13" s="896">
        <f t="shared" si="2"/>
        <v>0</v>
      </c>
      <c r="AM13" s="896">
        <f t="shared" si="2"/>
        <v>10802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1055</v>
      </c>
      <c r="BD13" s="896">
        <f t="shared" si="2"/>
        <v>1679</v>
      </c>
      <c r="BE13" s="896">
        <f t="shared" si="2"/>
        <v>0</v>
      </c>
      <c r="BF13" s="896">
        <f t="shared" si="2"/>
        <v>0</v>
      </c>
      <c r="BG13" s="896">
        <f>IF(ISNUMBER(Datos!K13/Datos!J13),Datos!K13/Datos!J13," - ")</f>
        <v>1.1652542372881356</v>
      </c>
      <c r="BH13" s="900">
        <f>IF(ISNUMBER(((Datos!L13/Datos!K13)*11)/factor_trimestre),((Datos!L13/Datos!K13)*11)/factor_trimestre," - ")</f>
        <v>4.7672727272727276</v>
      </c>
      <c r="BI13" s="896">
        <f>IF(ISNUMBER('Resol  Asuntos'!D13/NºAsuntos!G13),'Resol  Asuntos'!D13/NºAsuntos!G13," - ")</f>
        <v>0.27887919640496961</v>
      </c>
      <c r="BJ13" s="896" t="str">
        <f>IF(ISNUMBER(Datos!CI13/Datos!CJ13),Datos!CI13/Datos!CJ13," - ")</f>
        <v xml:space="preserve"> - </v>
      </c>
      <c r="BK13" s="896">
        <f>SUBTOTAL(9,BK8:BK12)</f>
        <v>0</v>
      </c>
      <c r="BL13" s="896">
        <f>IF(ISNUMBER((I13-AB13+L13)/(F13)),(I13-AB13+L13)/(F13)," - ")</f>
        <v>-0.33043478260869563</v>
      </c>
      <c r="BM13" s="901">
        <f>SUBTOTAL(9,BM9:BM12)</f>
        <v>-4.2224302464035385E-2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393</v>
      </c>
      <c r="C15" s="598" t="str">
        <f>Datos!A15</f>
        <v xml:space="preserve">Seccion Instruccion Del T.I.                   </v>
      </c>
      <c r="D15" s="599"/>
      <c r="E15" s="1160">
        <f>IF(ISNUMBER(Datos!AQ15),Datos!AQ15," - ")</f>
        <v>4</v>
      </c>
      <c r="F15" s="594">
        <f>IF(ISNUMBER(AF15+AB15-Datos!J15-L15),AF15+AB15-Datos!J15-L15," - ")</f>
        <v>2383</v>
      </c>
      <c r="G15" s="596">
        <f>IF(ISNUMBER(IF(D_I="SI",Datos!I15,Datos!I15+Datos!AC15)),IF(D_I="SI",Datos!I15,Datos!I15+Datos!AC15)," - ")</f>
        <v>2362</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89</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2585</v>
      </c>
      <c r="AC15" s="224">
        <f>IF(ISNUMBER(Datos!Q15),Datos!Q15," - ")</f>
        <v>157</v>
      </c>
      <c r="AD15" s="224"/>
      <c r="AE15" s="224"/>
      <c r="AF15" s="224">
        <f>IF(ISNUMBER(IF(D_I="SI",Datos!L15,Datos!L15+Datos!AF15)),IF(D_I="SI",Datos!L15,Datos!L15+Datos!AF15)," - ")</f>
        <v>2419</v>
      </c>
      <c r="AG15" s="333"/>
      <c r="AH15" s="224"/>
      <c r="AI15" s="224"/>
      <c r="AJ15" s="224"/>
      <c r="AK15" s="333"/>
      <c r="AL15" s="478"/>
      <c r="AM15" s="224">
        <f>IF(ISNUMBER(Datos!R15),Datos!R15," - ")</f>
        <v>191</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334</v>
      </c>
      <c r="BD15" s="228">
        <f>IF(ISNUMBER(Datos!N15),Datos!N15," - ")</f>
        <v>1588</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0.98626478443342236</v>
      </c>
      <c r="BH15" s="224">
        <f>IF(ISNUMBER(((IF(D_I="SI",Datos!L15/Datos!K15,(Datos!L15+Datos!AF15)/(Datos!K15+Datos!AE15)))*11)/factor_trimestre),((IF(D_I="SI",Datos!L15/Datos!K15,(Datos!L15+Datos!AF15)/(Datos!K15+Datos!AE15)))*11)/factor_trimestre," - ")</f>
        <v>2.807350096711799</v>
      </c>
      <c r="BI15" s="242">
        <f>IF(ISNUMBER('Resol  Asuntos'!D15/NºAsuntos!G15),'Resol  Asuntos'!D15/NºAsuntos!G15," - ")</f>
        <v>0.12920696324951644</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1033.5488240340044</v>
      </c>
      <c r="CF15" s="228">
        <f ca="1">AVERAGEIFS($AB:$AB,$BW:$BW,BW15,$BX:$BX,BX15)</f>
        <v>1033.5488240340044</v>
      </c>
      <c r="CG15" s="1191">
        <v>0.7</v>
      </c>
      <c r="CH15" s="1191">
        <f ca="1">AVERAGEIF($BW:$BW,BW15,$AC:$AC)</f>
        <v>327.25</v>
      </c>
      <c r="CI15" s="228">
        <f ca="1">AVERAGEIFS($AC:$AC,$BW:$BW,BW15,$BX:$BX,BX15)</f>
        <v>327.25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945.33333333333337</v>
      </c>
      <c r="CR15" s="228">
        <f ca="1">AVERAGEIFS($AF:$AF,$BW:$BW,BW15,$BX:$BX,BX15)</f>
        <v>945.33333333333337</v>
      </c>
      <c r="CS15" s="1191">
        <v>1.3</v>
      </c>
      <c r="CT15" s="1191">
        <v>1.5</v>
      </c>
      <c r="CU15" s="1191">
        <f ca="1">AVERAGEIF($BW:$BW,$BW15,$AH:$AH)</f>
        <v>89.333333333333329</v>
      </c>
      <c r="CV15" s="228">
        <f ca="1">AVERAGEIFS($AH:$AH,$BW:$BW,$BW15,$BX:$BX,$BX15)</f>
        <v>89.333333333333329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2752</v>
      </c>
      <c r="DH15" s="228">
        <f ca="1">AVERAGEIFS($AM:$AM,$BW:$BW,$BW15,$BX:$BX,$BX15)</f>
        <v>2752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3.2468703314338594</v>
      </c>
      <c r="ER15" s="228">
        <f ca="1">AVERAGEIFS($BH:$BH,$BW:$BW,$BW15,$BX:$BX,$BX15)</f>
        <v>3.2468703314338594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393</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1033.5488240340044</v>
      </c>
      <c r="CF16" s="228">
        <f ca="1">AVERAGEIFS($AB:$AB,$BW:$BW,BW16,$BX:$BX,BX16)</f>
        <v>1033.5488240340044</v>
      </c>
      <c r="CG16" s="1191">
        <v>0.7</v>
      </c>
      <c r="CH16" s="1191">
        <f ca="1">AVERAGEIF($BW:$BW,BW16,$AC:$AC)</f>
        <v>327.25</v>
      </c>
      <c r="CI16" s="228">
        <f ca="1">AVERAGEIFS($AC:$AC,$BW:$BW,BW16,$BX:$BX,BX16)</f>
        <v>327.25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945.33333333333337</v>
      </c>
      <c r="CR16" s="228">
        <f ca="1">AVERAGEIFS($AF:$AF,$BW:$BW,BW16,$BX:$BX,BX16)</f>
        <v>945.33333333333337</v>
      </c>
      <c r="CS16" s="1191">
        <v>1.3</v>
      </c>
      <c r="CT16" s="1191">
        <v>1.5</v>
      </c>
      <c r="CU16" s="1191">
        <f ca="1">AVERAGEIF($BW:$BW,$BW16,$AH:$AH)</f>
        <v>89.333333333333329</v>
      </c>
      <c r="CV16" s="228">
        <f ca="1">AVERAGEIFS($AH:$AH,$BW:$BW,$BW16,$BX:$BX,$BX16)</f>
        <v>89.333333333333329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2752</v>
      </c>
      <c r="DH16" s="228">
        <f ca="1">AVERAGEIFS($AM:$AM,$BW:$BW,$BW16,$BX:$BX,$BX16)</f>
        <v>2752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3.2468703314338594</v>
      </c>
      <c r="ER16" s="228">
        <f ca="1">AVERAGEIFS($BH:$BH,$BW:$BW,$BW16,$BX:$BX,$BX16)</f>
        <v>3.2468703314338594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393</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1033.5488240340044</v>
      </c>
      <c r="CF17" s="228">
        <f ca="1">AVERAGEIFS($AB:$AB,$BW:$BW,BW17,$BX:$BX,BX17)</f>
        <v>1033.5488240340044</v>
      </c>
      <c r="CG17" s="1191">
        <v>0.7</v>
      </c>
      <c r="CH17" s="1191">
        <f ca="1">AVERAGEIF($BW:$BW,BW17,$AC:$AC)</f>
        <v>327.25</v>
      </c>
      <c r="CI17" s="228">
        <f ca="1">AVERAGEIFS($AC:$AC,$BW:$BW,BW17,$BX:$BX,BX17)</f>
        <v>327.25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945.33333333333337</v>
      </c>
      <c r="CR17" s="228">
        <f ca="1">AVERAGEIFS($AF:$AF,$BW:$BW,BW17,$BX:$BX,BX17)</f>
        <v>945.33333333333337</v>
      </c>
      <c r="CS17" s="1191">
        <v>1.3</v>
      </c>
      <c r="CT17" s="1191">
        <v>1.5</v>
      </c>
      <c r="CU17" s="1191">
        <f ca="1">AVERAGEIF($BW:$BW,$BW17,$AH:$AH)</f>
        <v>89.333333333333329</v>
      </c>
      <c r="CV17" s="228">
        <f ca="1">AVERAGEIFS($AH:$AH,$BW:$BW,$BW17,$BX:$BX,$BX17)</f>
        <v>89.333333333333329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2752</v>
      </c>
      <c r="DH17" s="228">
        <f ca="1">AVERAGEIFS($AM:$AM,$BW:$BW,$BW17,$BX:$BX,$BX17)</f>
        <v>2752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3.2468703314338594</v>
      </c>
      <c r="ER17" s="228">
        <f ca="1">AVERAGEIFS($BH:$BH,$BW:$BW,$BW17,$BX:$BX,$BX17)</f>
        <v>3.2468703314338594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393</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258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341</v>
      </c>
      <c r="AC18" s="224">
        <f>IF(ISNUMBER(Datos!Q18),Datos!Q18," - ")</f>
        <v>8</v>
      </c>
      <c r="AD18" s="224"/>
      <c r="AE18" s="224"/>
      <c r="AF18" s="224">
        <f>IF(ISNUMBER(Datos!L18),Datos!L18,"-")</f>
        <v>303</v>
      </c>
      <c r="AG18" s="333"/>
      <c r="AH18" s="224"/>
      <c r="AI18" s="224"/>
      <c r="AJ18" s="224"/>
      <c r="AK18" s="333"/>
      <c r="AL18" s="478"/>
      <c r="AM18" s="224">
        <f>IF(ISNUMBER(Datos!R18),Datos!R18," - ")</f>
        <v>15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60</v>
      </c>
      <c r="BD18" s="228">
        <f>IF(ISNUMBER(Datos!N18),Datos!N18," - ")</f>
        <v>205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0.90933333333333333</v>
      </c>
      <c r="BH18" s="224">
        <f>IF(ISNUMBER(((IF(D_I="SI",Datos!L18/Datos!K18,(Datos!L18+Datos!AF18)/(Datos!K18+Datos!AE18)))*11)/factor_trimestre),((IF(D_I="SI",Datos!L18/Datos!K18,(Datos!L18+Datos!AF18)/(Datos!K18+Datos!AE18)))*11)/factor_trimestre," - ")</f>
        <v>2.6656891495601172</v>
      </c>
      <c r="BI18" s="242">
        <f>IF(ISNUMBER('Resol  Asuntos'!D18/NºAsuntos!G18),'Resol  Asuntos'!D18/NºAsuntos!G18," - ")</f>
        <v>0.17595307917888564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1033.5488240340044</v>
      </c>
      <c r="CF18" s="228">
        <f ca="1">AVERAGEIFS($AB:$AB,$BW:$BW,BW18,$BX:$BX,BX18)</f>
        <v>1033.5488240340044</v>
      </c>
      <c r="CG18" s="1191">
        <v>0.7</v>
      </c>
      <c r="CH18" s="1191">
        <f ca="1">AVERAGEIF($BW:$BW,BW18,$AC:$AC)</f>
        <v>327.25</v>
      </c>
      <c r="CI18" s="228">
        <f ca="1">AVERAGEIFS($AC:$AC,$BW:$BW,BW18,$BX:$BX,BX18)</f>
        <v>327.25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945.33333333333337</v>
      </c>
      <c r="CR18" s="228">
        <f ca="1">AVERAGEIFS($AF:$AF,$BW:$BW,BW18,$BX:$BX,BX18)</f>
        <v>945.33333333333337</v>
      </c>
      <c r="CS18" s="1191">
        <v>1.3</v>
      </c>
      <c r="CT18" s="1191">
        <v>1.5</v>
      </c>
      <c r="CU18" s="1191">
        <f ca="1">AVERAGEIF($BW:$BW,$BW18,$AH:$AH)</f>
        <v>89.333333333333329</v>
      </c>
      <c r="CV18" s="228">
        <f ca="1">AVERAGEIFS($AH:$AH,$BW:$BW,$BW18,$BX:$BX,$BX18)</f>
        <v>89.333333333333329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2752</v>
      </c>
      <c r="DH18" s="228">
        <f ca="1">AVERAGEIFS($AM:$AM,$BW:$BW,$BW18,$BX:$BX,$BX18)</f>
        <v>2752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3.2468703314338594</v>
      </c>
      <c r="ER18" s="228">
        <f ca="1">AVERAGEIFS($BH:$BH,$BW:$BW,$BW18,$BX:$BX,$BX18)</f>
        <v>3.2468703314338594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2383</v>
      </c>
      <c r="G19" s="895">
        <f>SUBTOTAL(9,G15:G18)</f>
        <v>2620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2926</v>
      </c>
      <c r="AC19" s="896">
        <f t="shared" si="5"/>
        <v>165</v>
      </c>
      <c r="AD19" s="896">
        <f t="shared" si="5"/>
        <v>0</v>
      </c>
      <c r="AE19" s="896">
        <f t="shared" si="5"/>
        <v>0</v>
      </c>
      <c r="AF19" s="896">
        <f t="shared" si="5"/>
        <v>2722</v>
      </c>
      <c r="AG19" s="896">
        <f t="shared" si="5"/>
        <v>0</v>
      </c>
      <c r="AH19" s="896">
        <f t="shared" si="5"/>
        <v>0</v>
      </c>
      <c r="AI19" s="896">
        <f t="shared" si="5"/>
        <v>0</v>
      </c>
      <c r="AJ19" s="896">
        <f t="shared" si="5"/>
        <v>0</v>
      </c>
      <c r="AK19" s="896">
        <f t="shared" si="5"/>
        <v>0</v>
      </c>
      <c r="AL19" s="896">
        <f t="shared" si="5"/>
        <v>0</v>
      </c>
      <c r="AM19" s="896">
        <f t="shared" si="5"/>
        <v>206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394</v>
      </c>
      <c r="BD19" s="896">
        <f t="shared" si="5"/>
        <v>1793</v>
      </c>
      <c r="BE19" s="896">
        <f t="shared" si="5"/>
        <v>0</v>
      </c>
      <c r="BF19" s="896">
        <f t="shared" si="5"/>
        <v>0</v>
      </c>
      <c r="BG19" s="896">
        <f>IF(ISNUMBER(Datos!K19/Datos!J19),Datos!K19/Datos!J19," - ")</f>
        <v>0.97663551401869164</v>
      </c>
      <c r="BH19" s="900">
        <f>IF(ISNUMBER(((Datos!L19/Datos!K19)*11)/factor_trimestre),((Datos!L19/Datos!K19)*11)/factor_trimestre," - ")</f>
        <v>2.7908407382091593</v>
      </c>
      <c r="BI19" s="896">
        <f>SUBTOTAL(9,BI15:BI18)</f>
        <v>0.30516004242840211</v>
      </c>
      <c r="BJ19" s="896">
        <f>SUBTOTAL(9,BJ15:BJ18)</f>
        <v>0</v>
      </c>
      <c r="BK19" s="896">
        <f>SUBTOTAL(9,BK15:BK18)</f>
        <v>0</v>
      </c>
      <c r="BL19" s="896">
        <f>IF(ISNUMBER((I19-AB19+L19)/(F19)),(I19-AB19+L19)/(F19)," - ")</f>
        <v>-1.2278640369282416</v>
      </c>
      <c r="BM19" s="902">
        <f>IF(ISNUMBER((Datos!P19-Datos!Q19)/(Datos!R19-Datos!P19+Datos!Q19)),(Datos!P19-Datos!Q19)/(Datos!R19-Datos!P19+Datos!Q19)," - ")</f>
        <v>-0.2563176895306859</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2498</v>
      </c>
      <c r="G20" s="817">
        <f t="shared" si="7"/>
        <v>2735</v>
      </c>
      <c r="H20" s="819">
        <f t="shared" si="7"/>
        <v>0</v>
      </c>
      <c r="I20" s="817">
        <f t="shared" si="7"/>
        <v>0</v>
      </c>
      <c r="J20" s="819">
        <f t="shared" si="7"/>
        <v>0</v>
      </c>
      <c r="K20" s="819">
        <f t="shared" si="7"/>
        <v>0</v>
      </c>
      <c r="L20" s="878">
        <f t="shared" si="7"/>
        <v>0</v>
      </c>
      <c r="M20" s="878">
        <f t="shared" si="7"/>
        <v>0</v>
      </c>
      <c r="N20" s="878">
        <f t="shared" si="7"/>
        <v>262</v>
      </c>
      <c r="O20" s="878">
        <f t="shared" si="7"/>
        <v>0</v>
      </c>
      <c r="P20" s="878">
        <f t="shared" si="7"/>
        <v>0</v>
      </c>
      <c r="Q20" s="819">
        <f t="shared" si="7"/>
        <v>972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2964</v>
      </c>
      <c r="AC20" s="818">
        <f t="shared" si="8"/>
        <v>1309</v>
      </c>
      <c r="AD20" s="818">
        <f t="shared" si="8"/>
        <v>0</v>
      </c>
      <c r="AE20" s="818">
        <f t="shared" si="8"/>
        <v>0</v>
      </c>
      <c r="AF20" s="825">
        <f t="shared" si="8"/>
        <v>2836</v>
      </c>
      <c r="AG20" s="825">
        <f t="shared" si="8"/>
        <v>0</v>
      </c>
      <c r="AH20" s="825">
        <f t="shared" si="8"/>
        <v>268</v>
      </c>
      <c r="AI20" s="825">
        <f t="shared" si="8"/>
        <v>0</v>
      </c>
      <c r="AJ20" s="818">
        <f t="shared" si="8"/>
        <v>0</v>
      </c>
      <c r="AK20" s="825">
        <f t="shared" si="8"/>
        <v>0</v>
      </c>
      <c r="AL20" s="825">
        <f t="shared" si="8"/>
        <v>0</v>
      </c>
      <c r="AM20" s="825">
        <f t="shared" si="8"/>
        <v>11008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1449</v>
      </c>
      <c r="BD20" s="817">
        <f t="shared" si="8"/>
        <v>3472</v>
      </c>
      <c r="BE20" s="817">
        <f t="shared" si="8"/>
        <v>0</v>
      </c>
      <c r="BF20" s="827">
        <f t="shared" si="8"/>
        <v>0</v>
      </c>
      <c r="BG20" s="912">
        <f>IF(ISNUMBER(Datos!K20/Datos!J20),Datos!K20/Datos!J20," - ")</f>
        <v>1.0720646437994723</v>
      </c>
      <c r="BH20" s="912">
        <f>IF(ISNUMBER(((Datos!L20/Datos!K20)*11)/factor_trimestre),((Datos!L20/Datos!K20)*11)/factor_trimestre," - ")</f>
        <v>3.8777111213659432</v>
      </c>
      <c r="BI20" s="810">
        <f>IF(ISNUMBER(Datos!J20/Datos!I20),Datos!J20/Datos!I20," - ")</f>
        <v>0.69358343817911472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-1.1865492393915131</v>
      </c>
      <c r="BM20" s="886">
        <f>IF(ISNUMBER((Datos!P20-Datos!Q20+R20)/(Datos!R20-Datos!P20+Datos!Q20-R20)),(Datos!P20-Datos!Q20+R20)/(Datos!R20-Datos!P20+Datos!Q20-R20)," - ")</f>
        <v>-2.9704715733803438E-2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261</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1094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262</v>
      </c>
      <c r="D22" s="481"/>
      <c r="E22" s="516">
        <f>IF(ISNUMBER(STDEV(E8:E19)),STDEV(E8:E19),"-")</f>
        <v>3.4576806613039839</v>
      </c>
      <c r="F22" s="550">
        <f>IF(ISNUMBER(STDEV(F8:F19)),STDEV(F8:F19),"-")</f>
        <v>1309.4304105220713</v>
      </c>
      <c r="G22" s="551">
        <f>IF(ISNUMBER(STDEV(G8:G19)),STDEV(G8:G19),"-")</f>
        <v>1279.8708919262131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1443.4882403400452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412.87658135158432</v>
      </c>
      <c r="BD22" s="550"/>
      <c r="BE22" s="550">
        <f>IF(ISNUMBER(STDEV(BE8:BE19)),STDEV(BE8:BE19),"-")</f>
        <v>0</v>
      </c>
      <c r="BF22" s="555">
        <f>IF(ISNUMBER(STDEV(BF8:BF19)),STDEV(BF8:BF19),"-")</f>
        <v>0</v>
      </c>
      <c r="BG22" s="772">
        <f>IF(ISNUMBER(STDEV(BG8:BG19)),STDEV(BG8:BG19),"-")</f>
        <v>0.13405741875356719</v>
      </c>
      <c r="BH22" s="773">
        <f>IF(ISNUMBER(STDEV(BH8:BH19)),STDEV(BH8:BH19),"-")</f>
        <v>2.3136309635050569</v>
      </c>
      <c r="BI22" s="248">
        <f>IF(ISNUMBER(STDEV(BI8:BI19)),STDEV(BI8:BI19),"-")</f>
        <v>8.3429296728757291E-2</v>
      </c>
      <c r="BJ22" s="986" t="str">
        <f>IF(ISNUMBER(BL22/BM22),BL22/BM22," - ")</f>
        <v xml:space="preserve"> - </v>
      </c>
      <c r="BK22" s="574"/>
      <c r="BL22" s="558">
        <f>IF(ISNUMBER(STDEV(BL8:BL19)),STDEV(BL8:BL19),"-")</f>
        <v>0.63457831136453779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421</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259</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260</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ZHXNgf/MQfr9fcyP2pZ1r8pWQZmfAxyhF2R3XPQdbOYfL0DS2MTBs5zvoWcJAwIZbVH/VV6T92VIlzTMHLPQ+Q==" saltValue="FWm3uF/huCMv2K8tPGW5U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EXTREMADURA</v>
      </c>
    </row>
    <row r="2" spans="1:146" ht="16.5" customHeight="1">
      <c r="C2" s="487" t="str">
        <f>Criterios!A10 &amp;"  "&amp;Criterios!B10 &amp; "  " &amp; IF(NOT(ISBLANK(Criterios!A11)),Criterios!A11 &amp;"  "&amp;Criterios!B11,"")</f>
        <v>Provincias  BADAJOZ  Resumenes por Partidos Judiciales  BADAJOZ</v>
      </c>
      <c r="D2" s="641"/>
      <c r="E2" s="646"/>
      <c r="F2" s="646"/>
      <c r="G2" s="647"/>
      <c r="I2" s="646"/>
      <c r="J2" s="648"/>
      <c r="K2" s="646"/>
      <c r="L2" s="646"/>
      <c r="M2" s="649"/>
      <c r="N2" s="649"/>
      <c r="O2" s="646"/>
      <c r="S2" s="646"/>
      <c r="T2" s="650"/>
    </row>
    <row r="3" spans="1:146" ht="21.75" customHeight="1">
      <c r="C3" s="641" t="s">
        <v>987</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348</v>
      </c>
      <c r="B5" s="271"/>
      <c r="C5" s="1290" t="str">
        <f>"Año:  " &amp;Criterios!B$5 &amp; "          Trimestre   " &amp;Criterios!D$5 &amp; " al " &amp;Criterios!D$6</f>
        <v>Año:  2026          Trimestre   2 al 2</v>
      </c>
      <c r="D5" s="1522" t="s">
        <v>373</v>
      </c>
      <c r="E5" s="1522" t="s">
        <v>547</v>
      </c>
      <c r="F5" s="1557" t="s">
        <v>403</v>
      </c>
      <c r="G5" s="1522" t="s">
        <v>130</v>
      </c>
      <c r="H5" s="1522" t="s">
        <v>577</v>
      </c>
      <c r="I5" s="1596" t="s">
        <v>548</v>
      </c>
      <c r="J5" s="1522" t="s">
        <v>651</v>
      </c>
      <c r="K5" s="1522" t="s">
        <v>549</v>
      </c>
      <c r="L5" s="1522" t="s">
        <v>517</v>
      </c>
      <c r="M5" s="1552" t="s">
        <v>575</v>
      </c>
      <c r="N5" s="1522" t="s">
        <v>706</v>
      </c>
      <c r="O5" s="1522" t="s">
        <v>666</v>
      </c>
      <c r="P5" s="1522" t="s">
        <v>165</v>
      </c>
      <c r="Q5" s="1540" t="s">
        <v>663</v>
      </c>
      <c r="R5" s="1540" t="s">
        <v>707</v>
      </c>
      <c r="S5" s="1522" t="s">
        <v>578</v>
      </c>
      <c r="T5" s="1540" t="s">
        <v>550</v>
      </c>
      <c r="U5" s="1540" t="s">
        <v>749</v>
      </c>
      <c r="V5" s="1540" t="s">
        <v>750</v>
      </c>
      <c r="W5" s="1546" t="s">
        <v>600</v>
      </c>
      <c r="X5" s="1602" t="s">
        <v>551</v>
      </c>
      <c r="Y5" s="1605" t="s">
        <v>552</v>
      </c>
      <c r="Z5" s="1605" t="s">
        <v>553</v>
      </c>
      <c r="AA5" s="1596" t="s">
        <v>667</v>
      </c>
      <c r="AB5" s="1596" t="s">
        <v>672</v>
      </c>
      <c r="AC5" s="1522" t="s">
        <v>179</v>
      </c>
      <c r="AD5" s="1608" t="s">
        <v>177</v>
      </c>
      <c r="AE5" s="1596" t="s">
        <v>668</v>
      </c>
      <c r="AF5" s="1593" t="s">
        <v>669</v>
      </c>
      <c r="AG5" s="1525" t="s">
        <v>526</v>
      </c>
      <c r="AH5" s="1596" t="s">
        <v>527</v>
      </c>
      <c r="AI5" s="1596" t="s">
        <v>598</v>
      </c>
      <c r="AJ5" s="1599" t="s">
        <v>599</v>
      </c>
      <c r="AK5" s="1525" t="s">
        <v>180</v>
      </c>
      <c r="AL5" s="1522" t="s">
        <v>557</v>
      </c>
      <c r="AM5" s="1596" t="s">
        <v>244</v>
      </c>
      <c r="AN5" s="1596" t="s">
        <v>245</v>
      </c>
      <c r="AO5" s="1522" t="s">
        <v>246</v>
      </c>
      <c r="AP5" s="1596" t="s">
        <v>558</v>
      </c>
      <c r="AQ5" s="1522" t="s">
        <v>247</v>
      </c>
      <c r="AR5" s="1596" t="s">
        <v>559</v>
      </c>
      <c r="AS5" s="1522" t="s">
        <v>560</v>
      </c>
      <c r="AT5" s="1522" t="s">
        <v>561</v>
      </c>
      <c r="AU5" s="1522" t="s">
        <v>586</v>
      </c>
      <c r="AV5" s="1522" t="s">
        <v>579</v>
      </c>
      <c r="AW5" s="1596" t="s">
        <v>787</v>
      </c>
      <c r="AX5" s="1596" t="s">
        <v>790</v>
      </c>
      <c r="AY5" s="1522" t="s">
        <v>792</v>
      </c>
      <c r="AZ5" s="1522" t="s">
        <v>580</v>
      </c>
      <c r="BA5" s="1522" t="s">
        <v>807</v>
      </c>
      <c r="BB5" s="1596" t="s">
        <v>562</v>
      </c>
      <c r="BC5" s="1522" t="s">
        <v>525</v>
      </c>
      <c r="BW5" s="1522" t="s">
        <v>124</v>
      </c>
      <c r="BX5" s="1522" t="s">
        <v>125</v>
      </c>
      <c r="BY5" s="1522" t="s">
        <v>894</v>
      </c>
      <c r="BZ5" s="1522" t="s">
        <v>895</v>
      </c>
      <c r="CA5" s="1522" t="s">
        <v>896</v>
      </c>
      <c r="CB5" s="1611" t="s">
        <v>982</v>
      </c>
      <c r="CC5" s="1611" t="s">
        <v>983</v>
      </c>
      <c r="CD5" s="1611" t="s">
        <v>984</v>
      </c>
      <c r="CE5" s="1522" t="s">
        <v>902</v>
      </c>
      <c r="CF5" s="1522" t="s">
        <v>903</v>
      </c>
      <c r="CG5" s="1522" t="s">
        <v>897</v>
      </c>
      <c r="CH5" s="1587" t="s">
        <v>907</v>
      </c>
      <c r="CI5" s="1587" t="s">
        <v>908</v>
      </c>
      <c r="CJ5" s="1587" t="s">
        <v>909</v>
      </c>
      <c r="CK5" s="1522" t="s">
        <v>898</v>
      </c>
      <c r="CL5" s="1522" t="s">
        <v>899</v>
      </c>
      <c r="CM5" s="1522" t="s">
        <v>900</v>
      </c>
      <c r="CN5" s="1522" t="s">
        <v>901</v>
      </c>
      <c r="CO5" s="1522" t="s">
        <v>928</v>
      </c>
      <c r="CP5" s="1522" t="s">
        <v>929</v>
      </c>
      <c r="CQ5" s="1522" t="s">
        <v>930</v>
      </c>
      <c r="CR5" s="1522" t="s">
        <v>931</v>
      </c>
      <c r="CS5" s="1587" t="s">
        <v>932</v>
      </c>
      <c r="CT5" s="1587" t="s">
        <v>933</v>
      </c>
      <c r="CU5" s="1587" t="s">
        <v>934</v>
      </c>
      <c r="CV5" s="1587" t="s">
        <v>935</v>
      </c>
      <c r="CW5" s="1522" t="s">
        <v>936</v>
      </c>
      <c r="CX5" s="1522" t="s">
        <v>937</v>
      </c>
      <c r="CY5" s="1522" t="s">
        <v>938</v>
      </c>
      <c r="CZ5" s="1522" t="s">
        <v>939</v>
      </c>
      <c r="DA5" s="1587" t="s">
        <v>940</v>
      </c>
      <c r="DB5" s="1587" t="s">
        <v>941</v>
      </c>
      <c r="DC5" s="1587" t="s">
        <v>942</v>
      </c>
      <c r="DD5" s="1587" t="s">
        <v>943</v>
      </c>
      <c r="DE5" s="1522" t="s">
        <v>944</v>
      </c>
      <c r="DF5" s="1522" t="s">
        <v>945</v>
      </c>
      <c r="DG5" s="1522" t="s">
        <v>946</v>
      </c>
      <c r="DH5" s="1522" t="s">
        <v>947</v>
      </c>
      <c r="DI5" s="1587" t="s">
        <v>948</v>
      </c>
      <c r="DJ5" s="1587" t="s">
        <v>949</v>
      </c>
      <c r="DK5" s="1587" t="s">
        <v>950</v>
      </c>
      <c r="DL5" s="1587" t="s">
        <v>951</v>
      </c>
      <c r="DM5" s="1522" t="s">
        <v>952</v>
      </c>
      <c r="DN5" s="1522" t="s">
        <v>953</v>
      </c>
      <c r="DO5" s="1522" t="s">
        <v>954</v>
      </c>
      <c r="DP5" s="1522" t="s">
        <v>955</v>
      </c>
      <c r="DQ5" s="1587" t="s">
        <v>956</v>
      </c>
      <c r="DR5" s="1587" t="s">
        <v>957</v>
      </c>
      <c r="DS5" s="1587" t="s">
        <v>958</v>
      </c>
      <c r="DT5" s="1587" t="s">
        <v>959</v>
      </c>
      <c r="DU5" s="1522" t="s">
        <v>960</v>
      </c>
      <c r="DV5" s="1522" t="s">
        <v>961</v>
      </c>
      <c r="DW5" s="1522" t="s">
        <v>962</v>
      </c>
      <c r="DX5" s="1522" t="s">
        <v>963</v>
      </c>
      <c r="DY5" s="1614" t="s">
        <v>964</v>
      </c>
      <c r="DZ5" s="1614" t="s">
        <v>965</v>
      </c>
      <c r="EA5" s="1614" t="s">
        <v>966</v>
      </c>
      <c r="EB5" s="1614" t="s">
        <v>967</v>
      </c>
      <c r="EC5" s="1522" t="s">
        <v>970</v>
      </c>
      <c r="ED5" s="1522" t="s">
        <v>968</v>
      </c>
      <c r="EE5" s="1522" t="s">
        <v>969</v>
      </c>
      <c r="EF5" s="1614" t="s">
        <v>971</v>
      </c>
      <c r="EG5" s="1614" t="s">
        <v>972</v>
      </c>
      <c r="EH5" s="1614" t="s">
        <v>973</v>
      </c>
      <c r="EI5" s="1614" t="s">
        <v>974</v>
      </c>
      <c r="EJ5" s="1522" t="s">
        <v>977</v>
      </c>
      <c r="EK5" s="1522" t="s">
        <v>975</v>
      </c>
      <c r="EL5" s="1522" t="s">
        <v>976</v>
      </c>
      <c r="EM5" s="1522" t="s">
        <v>978</v>
      </c>
      <c r="EN5" s="1614" t="s">
        <v>979</v>
      </c>
      <c r="EO5" s="1614" t="s">
        <v>980</v>
      </c>
      <c r="EP5" s="1614" t="s">
        <v>981</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243</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243</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243</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243</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0.27887919640496961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393</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393</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393</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393</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261</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262</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0.19719737090980904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421</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259</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260</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yQKsm6sdLVrpc8xR+rqRyw/AHLN19XTK6UsP8Ob7K/UWBmqDIUQjY3AJD5yJd/wgFlHx/I3CN33AldRKR05asg==" saltValue="7TF2B7XxRZIceTo7IHXS/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985</v>
      </c>
      <c r="B1" s="1618"/>
      <c r="C1" s="1618"/>
      <c r="D1" s="1618"/>
      <c r="E1" s="1618"/>
    </row>
    <row r="2" spans="1:5" ht="15">
      <c r="A2" s="366"/>
    </row>
    <row r="3" spans="1:5">
      <c r="A3" s="1212">
        <f>boletin</f>
        <v>0</v>
      </c>
    </row>
    <row r="4" spans="1:5">
      <c r="A4" s="1212" t="str">
        <f>IF(Criterios!B9=0,"",Criterios!B9)</f>
        <v>EXTREMADURA</v>
      </c>
      <c r="B4" s="787" t="str">
        <f>IF(Criterios!B10=0,"",Criterios!B10)</f>
        <v>BADAJOZ</v>
      </c>
      <c r="C4" s="787" t="str">
        <f>IF(Criterios!B11=0,"",Criterios!B11)</f>
        <v>BADAJOZ</v>
      </c>
      <c r="D4" s="371"/>
      <c r="E4" s="371"/>
    </row>
    <row r="5" spans="1:5">
      <c r="A5" s="1213" t="s">
        <v>37</v>
      </c>
      <c r="B5" s="423">
        <f>Año</f>
        <v>2026</v>
      </c>
      <c r="C5" s="787" t="s">
        <v>212</v>
      </c>
      <c r="D5" s="371">
        <f>TrimIni</f>
        <v>2</v>
      </c>
      <c r="E5" s="371"/>
    </row>
    <row r="6" spans="1:5">
      <c r="A6" s="1211"/>
      <c r="B6" s="1211"/>
      <c r="C6" s="1214" t="s">
        <v>213</v>
      </c>
      <c r="D6" s="1211">
        <f>TrimFin</f>
        <v>2</v>
      </c>
      <c r="E6" s="371"/>
    </row>
    <row r="7" spans="1:5" ht="47.25">
      <c r="A7" s="1208" t="s">
        <v>986</v>
      </c>
      <c r="B7" s="1208" t="s">
        <v>990</v>
      </c>
      <c r="C7" s="1208" t="s">
        <v>991</v>
      </c>
      <c r="D7" s="1208" t="s">
        <v>992</v>
      </c>
      <c r="E7" s="1208" t="s">
        <v>993</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6yGAT3oxJ4yOcAp5Gdac5GkTIAmO39vgdC63TFH8Ol6HLljqfaJm/iRs3f3Zd3oTkaLGx7FtgBNvJs8R4BCETA==" saltValue="S0Wu10PchKWhYDvQqJGUB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2026-10-06T14:15:18Z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